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tohl\Desktop\"/>
    </mc:Choice>
  </mc:AlternateContent>
  <xr:revisionPtr revIDLastSave="0" documentId="13_ncr:1_{7CE946E5-B73C-46BA-9B78-C5667978C770}" xr6:coauthVersionLast="47" xr6:coauthVersionMax="47" xr10:uidLastSave="{00000000-0000-0000-0000-000000000000}"/>
  <bookViews>
    <workbookView xWindow="-110" yWindow="-110" windowWidth="19420" windowHeight="11020" activeTab="1" xr2:uid="{00000000-000D-0000-FFFF-FFFF00000000}"/>
  </bookViews>
  <sheets>
    <sheet name="Instruktion och introduktion" sheetId="5" r:id="rId1"/>
    <sheet name="Räknesnurra för hemtjänst" sheetId="4" r:id="rId2"/>
  </sheets>
  <definedNames>
    <definedName name="_xlnm.Print_Area" localSheetId="1">'Räknesnurra för hemtjänst'!$B$1:$Q$41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9" i="4" l="1"/>
  <c r="I9" i="4"/>
  <c r="I12" i="4" s="1"/>
  <c r="L39" i="4"/>
  <c r="L40" i="4" s="1"/>
  <c r="L41" i="4" s="1"/>
  <c r="L37" i="4"/>
  <c r="L36" i="4" s="1"/>
  <c r="L35" i="4" s="1"/>
  <c r="O34" i="4"/>
  <c r="P34" i="4" s="1"/>
  <c r="L21" i="4"/>
  <c r="O22" i="4"/>
  <c r="N22" i="4" s="1"/>
  <c r="M22" i="4" s="1"/>
  <c r="L26" i="4"/>
  <c r="L25" i="4" s="1"/>
  <c r="L14" i="4"/>
  <c r="L13" i="4" s="1"/>
  <c r="L22" i="4"/>
  <c r="L10" i="4"/>
  <c r="I17" i="4"/>
  <c r="I26" i="4"/>
  <c r="I25" i="4"/>
  <c r="I32" i="4"/>
  <c r="E14" i="4"/>
  <c r="I31" i="4"/>
  <c r="I30" i="4"/>
  <c r="I29" i="4"/>
  <c r="I20" i="4"/>
  <c r="I19" i="4"/>
  <c r="I11" i="4" l="1"/>
  <c r="I13" i="4" s="1"/>
  <c r="I14" i="4" s="1"/>
  <c r="P22" i="4"/>
  <c r="Q22" i="4" s="1"/>
  <c r="L27" i="4"/>
  <c r="L28" i="4" s="1"/>
  <c r="L29" i="4" s="1"/>
  <c r="Q34" i="4"/>
  <c r="O10" i="4"/>
  <c r="N34" i="4"/>
  <c r="L15" i="4"/>
  <c r="L24" i="4"/>
  <c r="L23" i="4" s="1"/>
  <c r="L12" i="4"/>
  <c r="I22" i="4"/>
  <c r="I16" i="4"/>
  <c r="O14" i="4" l="1"/>
  <c r="O13" i="4"/>
  <c r="L11" i="4"/>
  <c r="O12" i="4"/>
  <c r="L16" i="4"/>
  <c r="O15" i="4"/>
  <c r="N10" i="4"/>
  <c r="P10" i="4"/>
  <c r="P15" i="4" s="1"/>
  <c r="I8" i="4"/>
  <c r="M34" i="4"/>
  <c r="M10" i="4" l="1"/>
  <c r="M11" i="4" s="1"/>
  <c r="N14" i="4"/>
  <c r="N13" i="4"/>
  <c r="N15" i="4"/>
  <c r="Q10" i="4"/>
  <c r="Q11" i="4" s="1"/>
  <c r="P14" i="4"/>
  <c r="P13" i="4"/>
  <c r="N12" i="4"/>
  <c r="P12" i="4"/>
  <c r="P11" i="4"/>
  <c r="O11" i="4"/>
  <c r="N11" i="4"/>
  <c r="L17" i="4"/>
  <c r="P16" i="4"/>
  <c r="O16" i="4"/>
  <c r="N16" i="4"/>
  <c r="Q35" i="4"/>
  <c r="P35" i="4"/>
  <c r="N37" i="4"/>
  <c r="Q36" i="4"/>
  <c r="O35" i="4"/>
  <c r="P36" i="4"/>
  <c r="P37" i="4"/>
  <c r="M35" i="4"/>
  <c r="Q37" i="4"/>
  <c r="O36" i="4"/>
  <c r="M36" i="4"/>
  <c r="N35" i="4"/>
  <c r="N36" i="4"/>
  <c r="M37" i="4"/>
  <c r="O37" i="4"/>
  <c r="O41" i="4"/>
  <c r="M39" i="4"/>
  <c r="N41" i="4"/>
  <c r="Q38" i="4"/>
  <c r="M41" i="4"/>
  <c r="P38" i="4"/>
  <c r="Q40" i="4"/>
  <c r="N38" i="4"/>
  <c r="O40" i="4"/>
  <c r="O38" i="4"/>
  <c r="I39" i="4" s="1"/>
  <c r="P40" i="4"/>
  <c r="M38" i="4"/>
  <c r="Q39" i="4"/>
  <c r="Q41" i="4"/>
  <c r="O39" i="4"/>
  <c r="N39" i="4"/>
  <c r="N40" i="4"/>
  <c r="M40" i="4"/>
  <c r="P39" i="4"/>
  <c r="P41" i="4"/>
  <c r="I35" i="4"/>
  <c r="M13" i="4" l="1"/>
  <c r="M14" i="4"/>
  <c r="M12" i="4"/>
  <c r="M15" i="4"/>
  <c r="M16" i="4"/>
  <c r="Q14" i="4"/>
  <c r="Q13" i="4"/>
  <c r="Q15" i="4"/>
  <c r="Q12" i="4"/>
  <c r="Q16" i="4"/>
  <c r="Q17" i="4"/>
  <c r="P17" i="4"/>
  <c r="O17" i="4"/>
  <c r="N17" i="4"/>
  <c r="M17" i="4"/>
  <c r="M29" i="4"/>
  <c r="P25" i="4"/>
  <c r="N24" i="4"/>
  <c r="N26" i="4"/>
  <c r="Q23" i="4"/>
  <c r="P26" i="4"/>
  <c r="P24" i="4"/>
  <c r="M24" i="4"/>
  <c r="N28" i="4"/>
  <c r="N25" i="4"/>
  <c r="M26" i="4"/>
  <c r="O28" i="4"/>
  <c r="O29" i="4"/>
  <c r="Q27" i="4"/>
  <c r="P28" i="4"/>
  <c r="M25" i="4"/>
  <c r="Q25" i="4"/>
  <c r="Q26" i="4"/>
  <c r="N29" i="4"/>
  <c r="P29" i="4"/>
  <c r="P27" i="4"/>
  <c r="O26" i="4"/>
  <c r="N23" i="4"/>
  <c r="O23" i="4"/>
  <c r="Q24" i="4"/>
  <c r="M28" i="4"/>
  <c r="O27" i="4"/>
  <c r="M27" i="4"/>
  <c r="Q29" i="4"/>
  <c r="M23" i="4"/>
  <c r="P23" i="4"/>
  <c r="N27" i="4"/>
  <c r="O24" i="4"/>
  <c r="O25" i="4"/>
  <c r="Q28" i="4"/>
  <c r="I34" i="4"/>
  <c r="I37" i="4" l="1"/>
  <c r="H39" i="4" s="1"/>
  <c r="J34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Kolmodin Lars</author>
  </authors>
  <commentList>
    <comment ref="B11" authorId="0" shapeId="0" xr:uid="{FBF61A1D-B815-493E-80F8-236563CD98B8}">
      <text>
        <r>
          <rPr>
            <b/>
            <sz val="9"/>
            <color indexed="81"/>
            <rFont val="Tahoma"/>
            <family val="2"/>
          </rPr>
          <t>OB-tilägg:</t>
        </r>
        <r>
          <rPr>
            <sz val="9"/>
            <color indexed="81"/>
            <rFont val="Tahoma"/>
            <family val="2"/>
          </rPr>
          <t xml:space="preserve">
beräknas som påslag på lönekostnaden</t>
        </r>
      </text>
    </comment>
    <comment ref="B12" authorId="0" shapeId="0" xr:uid="{984971A6-0C0C-4B95-828A-AB1C12E100BD}">
      <text>
        <r>
          <rPr>
            <b/>
            <sz val="9"/>
            <color indexed="81"/>
            <rFont val="Tahoma"/>
            <family val="2"/>
          </rPr>
          <t xml:space="preserve">Semester- och sjukersättning:
</t>
        </r>
        <r>
          <rPr>
            <sz val="9"/>
            <color indexed="81"/>
            <rFont val="Tahoma"/>
            <family val="2"/>
          </rPr>
          <t>beräknas som påslag på lönekostnaden</t>
        </r>
      </text>
    </comment>
    <comment ref="B13" authorId="0" shapeId="0" xr:uid="{2E6F74AB-0148-43CD-A683-BC75F7E4737B}">
      <text>
        <r>
          <rPr>
            <b/>
            <sz val="9"/>
            <color indexed="81"/>
            <rFont val="Tahoma"/>
            <family val="2"/>
          </rPr>
          <t>PO-tillägg:</t>
        </r>
        <r>
          <rPr>
            <sz val="9"/>
            <color indexed="81"/>
            <rFont val="Tahoma"/>
            <family val="2"/>
          </rPr>
          <t xml:space="preserve">
PO beräknas på summa av rader 9-12.</t>
        </r>
      </text>
    </comment>
  </commentList>
</comments>
</file>

<file path=xl/sharedStrings.xml><?xml version="1.0" encoding="utf-8"?>
<sst xmlns="http://schemas.openxmlformats.org/spreadsheetml/2006/main" count="63" uniqueCount="62">
  <si>
    <t>Verktyg för beräkning av hemtjänstersättning</t>
  </si>
  <si>
    <t>&gt; Fyll i informationen i fält med rödmarkerad text</t>
  </si>
  <si>
    <t>Kommunspecifika värden</t>
  </si>
  <si>
    <t>Exempelvärden</t>
  </si>
  <si>
    <t>Kommunspecifik ersättningsnivå</t>
  </si>
  <si>
    <t>Kr/timme</t>
  </si>
  <si>
    <t xml:space="preserve">Känslighetsanalys | Ersättning per timme hemtjänst beroende på olika nivåer av </t>
  </si>
  <si>
    <t>Personalkostnader</t>
  </si>
  <si>
    <t>Personalkostnader, summa</t>
  </si>
  <si>
    <t>personalsidokostnader och tillägg</t>
  </si>
  <si>
    <t>Genomsnittlig månadslön hemtjänstpersonal</t>
  </si>
  <si>
    <t>Lönekostnad</t>
  </si>
  <si>
    <t>Genomsnittligt antal arbetstimmar per månad</t>
  </si>
  <si>
    <t>Lönekostnad kr/månad</t>
  </si>
  <si>
    <t>OB-tillägg, %-påslag på grundlönen</t>
  </si>
  <si>
    <t>OB-tillägg</t>
  </si>
  <si>
    <t>Semester- och sjukersättning, %-påslag på grundlönen</t>
  </si>
  <si>
    <t>Semester- och sjukersättning</t>
  </si>
  <si>
    <t>PO-tillägg, %-påslag på samtliga pesonalkostnader</t>
  </si>
  <si>
    <t>PO-tillägg</t>
  </si>
  <si>
    <t>S:a personalsidokostnader, %-påslag på grundlön</t>
  </si>
  <si>
    <t>Personalsidokostnader, totalt</t>
  </si>
  <si>
    <t>Hemtjänstens övriga kostnader</t>
  </si>
  <si>
    <t>Övriga kostnader, summa</t>
  </si>
  <si>
    <t>Gemensamma fastighetskostnader, kostnad per år</t>
  </si>
  <si>
    <t>Hyreskostnader</t>
  </si>
  <si>
    <t>Hemtjänst andel av gemensamma fastighetskostnaderna (fördelningsnyckel t.ex. kvm)</t>
  </si>
  <si>
    <t>Direkta materialkostnader för hemtjänst, kostnad per år</t>
  </si>
  <si>
    <t>Materialkostnader</t>
  </si>
  <si>
    <t xml:space="preserve">Känslighetsanalys | Ersättning per timme hemtjänst beroende hemtjänsten andel av </t>
  </si>
  <si>
    <t>Övriga direkta kostnader för hemtjänst, kostnad per år</t>
  </si>
  <si>
    <t>Övriga kostnader</t>
  </si>
  <si>
    <t>äldreomsorgens och kommunens administrativa kostnader</t>
  </si>
  <si>
    <t>Administrativa kostnader</t>
  </si>
  <si>
    <t>Administrativa kostnader, summa</t>
  </si>
  <si>
    <t>Hemtjänstens andel av kommunens administrativa kostn.</t>
  </si>
  <si>
    <t>Hemtjänstens andel av äldreomsorgens gemensamma kostnader, fördelningsnyckel kan t.ex. grundas på antal årsarbetare inom hemtjänst i relation till hela äldreomsorgen</t>
  </si>
  <si>
    <t>Äldreomsorgens kostnad för verksamhetsledning per år</t>
  </si>
  <si>
    <t>Verksamhetsledning ÄO</t>
  </si>
  <si>
    <t>Äldreomsorgens övriga gemensamma kostnader per år</t>
  </si>
  <si>
    <t>Övr gem kostnader ÄO</t>
  </si>
  <si>
    <t>Hemtjänstens andel av kommungemensamma kostnader (fördelningsnyckel kan t.ex. grundas på antal årsarbetare inom hemtjänst i relation till all kommunal verksamhet som nyttjar samma resurser)</t>
  </si>
  <si>
    <t>Kommungemensam ekonomiadministration, kostnad per år</t>
  </si>
  <si>
    <t>Gemensam ekonomiadministration</t>
  </si>
  <si>
    <t>Kommungemensam HR, personal- &amp; löneadministration, kostnad per år</t>
  </si>
  <si>
    <t>Gemensam HR, personal- &amp; löneadmin.</t>
  </si>
  <si>
    <t>Kommungemensam IT &amp; digitalisering, kostnad per år</t>
  </si>
  <si>
    <t>Gemensam IT &amp; digitalisering</t>
  </si>
  <si>
    <t xml:space="preserve">Känslighetsanalys | Ersättning per timme hemtjänst beroende på olika nivåer av kringtid </t>
  </si>
  <si>
    <t>Övriga kommungemensamma kostnader per år</t>
  </si>
  <si>
    <t>och antagande om rationaliserings- eller avkastningskrav</t>
  </si>
  <si>
    <t>Genomsnittlig andel kringtid per timme hemtjänst</t>
  </si>
  <si>
    <t>Kringtid</t>
  </si>
  <si>
    <t>Kringtid, summa</t>
  </si>
  <si>
    <t>Rationalisering (-) /avkastningskrav (+) på omsättning, procent</t>
  </si>
  <si>
    <t>Genomsnittlig kringtid inom hemtjänst, procent</t>
  </si>
  <si>
    <t>Påslag för kringtid</t>
  </si>
  <si>
    <t>Volym</t>
  </si>
  <si>
    <t>Ersättning per timme</t>
  </si>
  <si>
    <t>Totalt antal utförda timmar hemtjänst per år (effektiv tid)</t>
  </si>
  <si>
    <t>&gt; Känslighetsanalyserna kan justeras i celler med rödmarkerad tex</t>
  </si>
  <si>
    <t>En självkostnadskalylering kan ligga till grund flera aspekter inom välfärden. Det kan handla om egenregins anbud i en upphandling eller prisnivåer för att klara av att bedriva hemtjänstuppdraget. En välgrundad självkostnadskalkyl kan ligga till grund för hur ersättning ska utgå i exempelvis ett valfrihetssystem. 
Timersättningen är en schablonersättning utifrån ifyllda värden. Följs mallen i sin helhet tas ej hänsyn till tid på dygnet, geografi och uppdrag. Det kan därför finnas anledning att undersöka hur timersättningen påverkas vid differentierad ersättning enligt följande frågor:
- Vid vilken tid på dygnet utförs insatsen?
- Kommer OB att utgå och i vilken omfattning?
- Vid vilken geografisk plats kommer insatsen utföras?
- Påverkas kringtiden ersättningen för uppdraget?
- Differentieras ersättningen utifrån vilken typ av uppdrag som ska utföras?
- Är månadslönen densamma för personal som utför vissa insatser som andra?
- Finns det uppdragskillnader eller andra skillnader mellan huvudmännen?
- Skiljer sig administrativa kostnader åt mellan regiformer?
- Finns fria nyttigheter, administrativa kostnader, momskompensationer etc?
- Finns det differenser i pensionskostnader?
Läs mer i skrift avseende självkostnadskalkylering för fler uppslag på tankar att ta med sig.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</si>
</sst>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#,##0\ &quot;kr&quot;;\-#,##0\ &quot;kr&quot;"/>
    <numFmt numFmtId="44" formatCode="_-* #,##0.00\ &quot;kr&quot;_-;\-* #,##0.00\ &quot;kr&quot;_-;_-* &quot;-&quot;??\ &quot;kr&quot;_-;_-@_-"/>
    <numFmt numFmtId="164" formatCode="0.0\ %"/>
    <numFmt numFmtId="165" formatCode="0\ %"/>
    <numFmt numFmtId="166" formatCode="#,##0\ &quot;kr&quot;"/>
    <numFmt numFmtId="167" formatCode="#,##0.0&quot; mnkr&quot;"/>
    <numFmt numFmtId="168" formatCode="0.00\ %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56"/>
      <name val="Arial Narrow"/>
      <family val="2"/>
    </font>
    <font>
      <sz val="8"/>
      <color indexed="60"/>
      <name val="Arial Narrow"/>
      <family val="2"/>
    </font>
    <font>
      <sz val="8"/>
      <color indexed="9"/>
      <name val="Arial Narrow"/>
      <family val="2"/>
    </font>
    <font>
      <b/>
      <sz val="8"/>
      <color indexed="60"/>
      <name val="Arial Narrow"/>
      <family val="2"/>
    </font>
    <font>
      <b/>
      <sz val="8"/>
      <color indexed="56"/>
      <name val="Arial Narrow"/>
      <family val="2"/>
    </font>
    <font>
      <sz val="8"/>
      <color theme="0"/>
      <name val="Arial Narrow"/>
      <family val="2"/>
    </font>
    <font>
      <b/>
      <sz val="8"/>
      <color theme="0"/>
      <name val="Arial Narrow"/>
      <family val="2"/>
    </font>
    <font>
      <b/>
      <sz val="8"/>
      <color theme="5" tint="0.79998168889431442"/>
      <name val="Arial Narrow"/>
      <family val="2"/>
    </font>
    <font>
      <sz val="10"/>
      <name val="Arial"/>
      <family val="2"/>
    </font>
    <font>
      <sz val="18"/>
      <color theme="3"/>
      <name val="Cambria"/>
      <family val="2"/>
      <scheme val="major"/>
    </font>
    <font>
      <sz val="16"/>
      <color theme="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theme="0" tint="-0.34998626667073579"/>
      <name val="Arial Narrow"/>
      <family val="2"/>
    </font>
    <font>
      <b/>
      <sz val="8"/>
      <color theme="0"/>
      <name val="Arial"/>
      <family val="2"/>
    </font>
    <font>
      <b/>
      <sz val="8"/>
      <color rgb="FFFF0000"/>
      <name val="Arial Narrow"/>
      <family val="2"/>
    </font>
    <font>
      <b/>
      <sz val="8"/>
      <color theme="9" tint="-0.499984740745262"/>
      <name val="Arial Narrow"/>
      <family val="2"/>
    </font>
    <font>
      <sz val="7"/>
      <color rgb="FF00000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C33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2DFCC"/>
        <bgColor indexed="64"/>
      </patternFill>
    </fill>
    <fill>
      <patternFill patternType="solid">
        <fgColor rgb="FFD6D2B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5" tint="-0.499984740745262"/>
      </left>
      <right/>
      <top style="medium">
        <color theme="5" tint="-0.499984740745262"/>
      </top>
      <bottom/>
      <diagonal/>
    </border>
    <border>
      <left style="medium">
        <color theme="5" tint="-0.499984740745262"/>
      </left>
      <right/>
      <top/>
      <bottom/>
      <diagonal/>
    </border>
    <border>
      <left style="medium">
        <color theme="5" tint="-0.499984740745262"/>
      </left>
      <right/>
      <top/>
      <bottom style="medium">
        <color theme="5" tint="-0.499984740745262"/>
      </bottom>
      <diagonal/>
    </border>
    <border>
      <left/>
      <right style="medium">
        <color theme="5" tint="-0.499984740745262"/>
      </right>
      <top style="medium">
        <color theme="5" tint="-0.499984740745262"/>
      </top>
      <bottom/>
      <diagonal/>
    </border>
    <border>
      <left/>
      <right style="medium">
        <color theme="5" tint="-0.499984740745262"/>
      </right>
      <top/>
      <bottom/>
      <diagonal/>
    </border>
    <border>
      <left/>
      <right style="medium">
        <color theme="5" tint="-0.499984740745262"/>
      </right>
      <top/>
      <bottom style="medium">
        <color theme="5" tint="-0.499984740745262"/>
      </bottom>
      <diagonal/>
    </border>
    <border>
      <left/>
      <right/>
      <top style="medium">
        <color theme="5" tint="-0.499984740745262"/>
      </top>
      <bottom/>
      <diagonal/>
    </border>
    <border>
      <left/>
      <right/>
      <top/>
      <bottom style="medium">
        <color theme="5" tint="-0.499984740745262"/>
      </bottom>
      <diagonal/>
    </border>
    <border>
      <left/>
      <right/>
      <top/>
      <bottom style="thin">
        <color theme="5" tint="0.39994506668294322"/>
      </bottom>
      <diagonal/>
    </border>
    <border>
      <left/>
      <right/>
      <top/>
      <bottom style="thin">
        <color theme="5" tint="0.39991454817346722"/>
      </bottom>
      <diagonal/>
    </border>
    <border>
      <left/>
      <right/>
      <top style="thin">
        <color theme="5" tint="0.39991454817346722"/>
      </top>
      <bottom style="thin">
        <color theme="5" tint="0.39991454817346722"/>
      </bottom>
      <diagonal/>
    </border>
    <border>
      <left/>
      <right/>
      <top style="thin">
        <color theme="5" tint="0.39991454817346722"/>
      </top>
      <bottom style="thin">
        <color theme="5" tint="0.39994506668294322"/>
      </bottom>
      <diagonal/>
    </border>
    <border>
      <left/>
      <right/>
      <top style="thin">
        <color theme="5" tint="0.39991454817346722"/>
      </top>
      <bottom/>
      <diagonal/>
    </border>
    <border>
      <left style="thin">
        <color rgb="FFDA9694"/>
      </left>
      <right/>
      <top/>
      <bottom/>
      <diagonal/>
    </border>
    <border>
      <left/>
      <right/>
      <top style="thin">
        <color rgb="FFDA969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9" fontId="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</cellStyleXfs>
  <cellXfs count="103">
    <xf numFmtId="0" fontId="0" fillId="0" borderId="0" xfId="0"/>
    <xf numFmtId="3" fontId="12" fillId="5" borderId="0" xfId="0" applyNumberFormat="1" applyFont="1" applyFill="1" applyAlignment="1" applyProtection="1">
      <alignment vertical="center"/>
      <protection hidden="1"/>
    </xf>
    <xf numFmtId="3" fontId="4" fillId="2" borderId="0" xfId="0" applyNumberFormat="1" applyFont="1" applyFill="1" applyAlignment="1" applyProtection="1">
      <alignment vertical="center"/>
      <protection hidden="1"/>
    </xf>
    <xf numFmtId="3" fontId="5" fillId="4" borderId="0" xfId="0" applyNumberFormat="1" applyFont="1" applyFill="1" applyAlignment="1" applyProtection="1">
      <alignment vertical="center" wrapText="1"/>
      <protection hidden="1"/>
    </xf>
    <xf numFmtId="3" fontId="4" fillId="2" borderId="0" xfId="0" applyNumberFormat="1" applyFont="1" applyFill="1" applyAlignment="1" applyProtection="1">
      <alignment vertical="center" wrapText="1"/>
      <protection hidden="1"/>
    </xf>
    <xf numFmtId="3" fontId="13" fillId="4" borderId="0" xfId="0" applyNumberFormat="1" applyFont="1" applyFill="1" applyAlignment="1" applyProtection="1">
      <alignment vertical="center"/>
      <protection hidden="1"/>
    </xf>
    <xf numFmtId="3" fontId="12" fillId="2" borderId="0" xfId="0" applyNumberFormat="1" applyFont="1" applyFill="1" applyAlignment="1" applyProtection="1">
      <alignment vertical="center"/>
      <protection hidden="1"/>
    </xf>
    <xf numFmtId="9" fontId="5" fillId="2" borderId="0" xfId="1" applyFont="1" applyFill="1" applyBorder="1" applyAlignment="1" applyProtection="1">
      <alignment horizontal="center" vertical="center"/>
      <protection hidden="1"/>
    </xf>
    <xf numFmtId="3" fontId="4" fillId="6" borderId="0" xfId="0" applyNumberFormat="1" applyFont="1" applyFill="1" applyAlignment="1" applyProtection="1">
      <alignment horizontal="center" vertical="center"/>
      <protection hidden="1"/>
    </xf>
    <xf numFmtId="3" fontId="5" fillId="2" borderId="0" xfId="0" applyNumberFormat="1" applyFont="1" applyFill="1" applyAlignment="1" applyProtection="1">
      <alignment vertical="center" wrapText="1"/>
      <protection hidden="1"/>
    </xf>
    <xf numFmtId="3" fontId="5" fillId="2" borderId="0" xfId="0" applyNumberFormat="1" applyFont="1" applyFill="1" applyAlignment="1" applyProtection="1">
      <alignment vertical="center"/>
      <protection hidden="1"/>
    </xf>
    <xf numFmtId="3" fontId="4" fillId="7" borderId="0" xfId="0" applyNumberFormat="1" applyFont="1" applyFill="1" applyAlignment="1" applyProtection="1">
      <alignment horizontal="center" vertical="center"/>
      <protection hidden="1"/>
    </xf>
    <xf numFmtId="3" fontId="4" fillId="8" borderId="1" xfId="0" applyNumberFormat="1" applyFont="1" applyFill="1" applyBorder="1" applyAlignment="1" applyProtection="1">
      <alignment horizontal="center" vertical="center"/>
      <protection hidden="1"/>
    </xf>
    <xf numFmtId="166" fontId="5" fillId="2" borderId="0" xfId="0" applyNumberFormat="1" applyFont="1" applyFill="1" applyAlignment="1" applyProtection="1">
      <alignment horizontal="center" vertical="center"/>
      <protection hidden="1"/>
    </xf>
    <xf numFmtId="166" fontId="5" fillId="4" borderId="0" xfId="0" applyNumberFormat="1" applyFont="1" applyFill="1" applyAlignment="1" applyProtection="1">
      <alignment vertical="center" wrapText="1"/>
      <protection hidden="1"/>
    </xf>
    <xf numFmtId="166" fontId="4" fillId="2" borderId="0" xfId="0" applyNumberFormat="1" applyFont="1" applyFill="1" applyAlignment="1" applyProtection="1">
      <alignment vertical="center"/>
      <protection hidden="1"/>
    </xf>
    <xf numFmtId="166" fontId="5" fillId="4" borderId="0" xfId="0" applyNumberFormat="1" applyFont="1" applyFill="1" applyAlignment="1" applyProtection="1">
      <alignment vertical="center"/>
      <protection hidden="1"/>
    </xf>
    <xf numFmtId="166" fontId="5" fillId="2" borderId="0" xfId="0" applyNumberFormat="1" applyFont="1" applyFill="1" applyAlignment="1" applyProtection="1">
      <alignment vertical="center"/>
      <protection hidden="1"/>
    </xf>
    <xf numFmtId="166" fontId="4" fillId="2" borderId="0" xfId="0" applyNumberFormat="1" applyFont="1" applyFill="1" applyAlignment="1" applyProtection="1">
      <alignment horizontal="center" vertical="center"/>
      <protection hidden="1"/>
    </xf>
    <xf numFmtId="9" fontId="4" fillId="2" borderId="0" xfId="1" applyFont="1" applyFill="1" applyBorder="1" applyAlignment="1" applyProtection="1">
      <alignment horizontal="center" vertical="center"/>
      <protection hidden="1"/>
    </xf>
    <xf numFmtId="166" fontId="19" fillId="2" borderId="0" xfId="0" applyNumberFormat="1" applyFont="1" applyFill="1" applyAlignment="1" applyProtection="1">
      <alignment vertical="center"/>
      <protection hidden="1"/>
    </xf>
    <xf numFmtId="3" fontId="16" fillId="2" borderId="0" xfId="3" applyNumberFormat="1" applyFont="1" applyFill="1" applyAlignment="1" applyProtection="1">
      <alignment vertical="center"/>
      <protection hidden="1"/>
    </xf>
    <xf numFmtId="3" fontId="4" fillId="3" borderId="0" xfId="0" applyNumberFormat="1" applyFont="1" applyFill="1" applyAlignment="1" applyProtection="1">
      <alignment vertical="center"/>
      <protection hidden="1"/>
    </xf>
    <xf numFmtId="9" fontId="4" fillId="2" borderId="0" xfId="1" applyFont="1" applyFill="1" applyAlignment="1" applyProtection="1">
      <alignment vertical="center"/>
      <protection hidden="1"/>
    </xf>
    <xf numFmtId="3" fontId="4" fillId="3" borderId="2" xfId="0" applyNumberFormat="1" applyFont="1" applyFill="1" applyBorder="1" applyAlignment="1" applyProtection="1">
      <alignment vertical="center"/>
      <protection hidden="1"/>
    </xf>
    <xf numFmtId="3" fontId="4" fillId="2" borderId="8" xfId="0" applyNumberFormat="1" applyFont="1" applyFill="1" applyBorder="1" applyAlignment="1" applyProtection="1">
      <alignment vertical="center"/>
      <protection hidden="1"/>
    </xf>
    <xf numFmtId="3" fontId="4" fillId="2" borderId="5" xfId="0" applyNumberFormat="1" applyFont="1" applyFill="1" applyBorder="1" applyAlignment="1" applyProtection="1">
      <alignment vertical="center"/>
      <protection hidden="1"/>
    </xf>
    <xf numFmtId="3" fontId="12" fillId="3" borderId="0" xfId="0" applyNumberFormat="1" applyFont="1" applyFill="1" applyAlignment="1" applyProtection="1">
      <alignment vertical="center"/>
      <protection hidden="1"/>
    </xf>
    <xf numFmtId="3" fontId="12" fillId="3" borderId="3" xfId="0" applyNumberFormat="1" applyFont="1" applyFill="1" applyBorder="1" applyAlignment="1" applyProtection="1">
      <alignment vertical="center"/>
      <protection hidden="1"/>
    </xf>
    <xf numFmtId="3" fontId="11" fillId="3" borderId="6" xfId="0" applyNumberFormat="1" applyFont="1" applyFill="1" applyBorder="1" applyAlignment="1" applyProtection="1">
      <alignment horizontal="center" vertical="center"/>
      <protection hidden="1"/>
    </xf>
    <xf numFmtId="3" fontId="11" fillId="3" borderId="0" xfId="0" applyNumberFormat="1" applyFont="1" applyFill="1" applyAlignment="1" applyProtection="1">
      <alignment horizontal="center" vertical="center"/>
      <protection hidden="1"/>
    </xf>
    <xf numFmtId="3" fontId="5" fillId="3" borderId="0" xfId="0" applyNumberFormat="1" applyFont="1" applyFill="1" applyAlignment="1" applyProtection="1">
      <alignment vertical="center" wrapText="1"/>
      <protection hidden="1"/>
    </xf>
    <xf numFmtId="3" fontId="5" fillId="3" borderId="3" xfId="0" applyNumberFormat="1" applyFont="1" applyFill="1" applyBorder="1" applyAlignment="1" applyProtection="1">
      <alignment vertical="center" wrapText="1"/>
      <protection hidden="1"/>
    </xf>
    <xf numFmtId="3" fontId="6" fillId="3" borderId="6" xfId="0" applyNumberFormat="1" applyFont="1" applyFill="1" applyBorder="1" applyAlignment="1" applyProtection="1">
      <alignment vertical="center"/>
      <protection hidden="1"/>
    </xf>
    <xf numFmtId="3" fontId="6" fillId="3" borderId="0" xfId="0" applyNumberFormat="1" applyFont="1" applyFill="1" applyAlignment="1" applyProtection="1">
      <alignment vertical="center"/>
      <protection hidden="1"/>
    </xf>
    <xf numFmtId="3" fontId="4" fillId="3" borderId="0" xfId="0" applyNumberFormat="1" applyFont="1" applyFill="1" applyAlignment="1" applyProtection="1">
      <alignment vertical="center" wrapText="1"/>
      <protection hidden="1"/>
    </xf>
    <xf numFmtId="3" fontId="4" fillId="3" borderId="3" xfId="0" applyNumberFormat="1" applyFont="1" applyFill="1" applyBorder="1" applyAlignment="1" applyProtection="1">
      <alignment vertical="center" wrapText="1"/>
      <protection hidden="1"/>
    </xf>
    <xf numFmtId="3" fontId="7" fillId="3" borderId="6" xfId="0" applyNumberFormat="1" applyFont="1" applyFill="1" applyBorder="1" applyAlignment="1" applyProtection="1">
      <alignment vertical="center"/>
      <protection hidden="1"/>
    </xf>
    <xf numFmtId="3" fontId="7" fillId="3" borderId="0" xfId="0" applyNumberFormat="1" applyFont="1" applyFill="1" applyAlignment="1" applyProtection="1">
      <alignment vertical="center"/>
      <protection hidden="1"/>
    </xf>
    <xf numFmtId="165" fontId="7" fillId="3" borderId="6" xfId="1" applyNumberFormat="1" applyFont="1" applyFill="1" applyBorder="1" applyAlignment="1" applyProtection="1">
      <alignment vertical="center"/>
      <protection hidden="1"/>
    </xf>
    <xf numFmtId="165" fontId="7" fillId="3" borderId="0" xfId="1" applyNumberFormat="1" applyFont="1" applyFill="1" applyBorder="1" applyAlignment="1" applyProtection="1">
      <alignment vertical="center"/>
      <protection hidden="1"/>
    </xf>
    <xf numFmtId="3" fontId="19" fillId="2" borderId="0" xfId="0" applyNumberFormat="1" applyFont="1" applyFill="1" applyAlignment="1" applyProtection="1">
      <alignment vertical="center" wrapText="1"/>
      <protection hidden="1"/>
    </xf>
    <xf numFmtId="3" fontId="19" fillId="3" borderId="0" xfId="0" applyNumberFormat="1" applyFont="1" applyFill="1" applyAlignment="1" applyProtection="1">
      <alignment vertical="center" wrapText="1"/>
      <protection hidden="1"/>
    </xf>
    <xf numFmtId="3" fontId="19" fillId="3" borderId="3" xfId="0" applyNumberFormat="1" applyFont="1" applyFill="1" applyBorder="1" applyAlignment="1" applyProtection="1">
      <alignment vertical="center" wrapText="1"/>
      <protection hidden="1"/>
    </xf>
    <xf numFmtId="165" fontId="19" fillId="2" borderId="0" xfId="1" applyNumberFormat="1" applyFont="1" applyFill="1" applyBorder="1" applyAlignment="1" applyProtection="1">
      <alignment vertical="center"/>
      <protection hidden="1"/>
    </xf>
    <xf numFmtId="165" fontId="12" fillId="3" borderId="6" xfId="1" applyNumberFormat="1" applyFont="1" applyFill="1" applyBorder="1" applyAlignment="1" applyProtection="1">
      <alignment vertical="center"/>
      <protection hidden="1"/>
    </xf>
    <xf numFmtId="165" fontId="12" fillId="3" borderId="0" xfId="1" applyNumberFormat="1" applyFont="1" applyFill="1" applyBorder="1" applyAlignment="1" applyProtection="1">
      <alignment vertical="center"/>
      <protection hidden="1"/>
    </xf>
    <xf numFmtId="3" fontId="6" fillId="4" borderId="0" xfId="0" applyNumberFormat="1" applyFont="1" applyFill="1" applyAlignment="1" applyProtection="1">
      <alignment vertical="center"/>
      <protection hidden="1"/>
    </xf>
    <xf numFmtId="9" fontId="7" fillId="3" borderId="6" xfId="0" applyNumberFormat="1" applyFont="1" applyFill="1" applyBorder="1" applyAlignment="1" applyProtection="1">
      <alignment vertical="center"/>
      <protection hidden="1"/>
    </xf>
    <xf numFmtId="9" fontId="7" fillId="3" borderId="0" xfId="0" applyNumberFormat="1" applyFont="1" applyFill="1" applyAlignment="1" applyProtection="1">
      <alignment vertical="center"/>
      <protection hidden="1"/>
    </xf>
    <xf numFmtId="9" fontId="7" fillId="3" borderId="6" xfId="1" applyFont="1" applyFill="1" applyBorder="1" applyAlignment="1" applyProtection="1">
      <alignment vertical="center"/>
      <protection hidden="1"/>
    </xf>
    <xf numFmtId="9" fontId="7" fillId="3" borderId="0" xfId="1" applyFont="1" applyFill="1" applyBorder="1" applyAlignment="1" applyProtection="1">
      <alignment vertical="center"/>
      <protection hidden="1"/>
    </xf>
    <xf numFmtId="165" fontId="7" fillId="3" borderId="6" xfId="0" applyNumberFormat="1" applyFont="1" applyFill="1" applyBorder="1" applyAlignment="1" applyProtection="1">
      <alignment vertical="center"/>
      <protection hidden="1"/>
    </xf>
    <xf numFmtId="165" fontId="7" fillId="3" borderId="0" xfId="0" applyNumberFormat="1" applyFont="1" applyFill="1" applyAlignment="1" applyProtection="1">
      <alignment vertical="center"/>
      <protection hidden="1"/>
    </xf>
    <xf numFmtId="3" fontId="4" fillId="3" borderId="3" xfId="0" applyNumberFormat="1" applyFont="1" applyFill="1" applyBorder="1" applyAlignment="1" applyProtection="1">
      <alignment vertical="center"/>
      <protection hidden="1"/>
    </xf>
    <xf numFmtId="3" fontId="4" fillId="3" borderId="6" xfId="0" applyNumberFormat="1" applyFont="1" applyFill="1" applyBorder="1" applyAlignment="1" applyProtection="1">
      <alignment vertical="center"/>
      <protection hidden="1"/>
    </xf>
    <xf numFmtId="3" fontId="10" fillId="4" borderId="0" xfId="0" applyNumberFormat="1" applyFont="1" applyFill="1" applyAlignment="1" applyProtection="1">
      <alignment vertical="center"/>
      <protection hidden="1"/>
    </xf>
    <xf numFmtId="164" fontId="9" fillId="2" borderId="0" xfId="1" applyNumberFormat="1" applyFont="1" applyFill="1" applyBorder="1" applyAlignment="1" applyProtection="1">
      <alignment vertical="center"/>
      <protection hidden="1"/>
    </xf>
    <xf numFmtId="164" fontId="7" fillId="3" borderId="6" xfId="1" applyNumberFormat="1" applyFont="1" applyFill="1" applyBorder="1" applyAlignment="1" applyProtection="1">
      <alignment vertical="center"/>
      <protection hidden="1"/>
    </xf>
    <xf numFmtId="164" fontId="7" fillId="3" borderId="0" xfId="1" applyNumberFormat="1" applyFont="1" applyFill="1" applyBorder="1" applyAlignment="1" applyProtection="1">
      <alignment vertical="center"/>
      <protection hidden="1"/>
    </xf>
    <xf numFmtId="3" fontId="4" fillId="3" borderId="4" xfId="0" applyNumberFormat="1" applyFont="1" applyFill="1" applyBorder="1" applyAlignment="1" applyProtection="1">
      <alignment vertical="center" wrapText="1"/>
      <protection hidden="1"/>
    </xf>
    <xf numFmtId="164" fontId="9" fillId="2" borderId="9" xfId="1" applyNumberFormat="1" applyFont="1" applyFill="1" applyBorder="1" applyAlignment="1" applyProtection="1">
      <alignment vertical="center"/>
      <protection hidden="1"/>
    </xf>
    <xf numFmtId="164" fontId="7" fillId="3" borderId="7" xfId="1" applyNumberFormat="1" applyFont="1" applyFill="1" applyBorder="1" applyAlignment="1" applyProtection="1">
      <alignment vertical="center"/>
      <protection hidden="1"/>
    </xf>
    <xf numFmtId="3" fontId="11" fillId="3" borderId="0" xfId="0" applyNumberFormat="1" applyFont="1" applyFill="1" applyAlignment="1" applyProtection="1">
      <alignment vertical="center"/>
      <protection hidden="1"/>
    </xf>
    <xf numFmtId="3" fontId="8" fillId="2" borderId="0" xfId="0" applyNumberFormat="1" applyFont="1" applyFill="1" applyAlignment="1" applyProtection="1">
      <alignment vertical="center"/>
      <protection hidden="1"/>
    </xf>
    <xf numFmtId="165" fontId="9" fillId="9" borderId="10" xfId="1" applyNumberFormat="1" applyFont="1" applyFill="1" applyBorder="1" applyAlignment="1" applyProtection="1">
      <alignment vertical="center"/>
      <protection locked="0"/>
    </xf>
    <xf numFmtId="3" fontId="9" fillId="9" borderId="10" xfId="0" applyNumberFormat="1" applyFont="1" applyFill="1" applyBorder="1" applyAlignment="1" applyProtection="1">
      <alignment vertical="center"/>
      <protection locked="0"/>
    </xf>
    <xf numFmtId="3" fontId="9" fillId="9" borderId="11" xfId="0" applyNumberFormat="1" applyFont="1" applyFill="1" applyBorder="1" applyAlignment="1" applyProtection="1">
      <alignment vertical="center"/>
      <protection locked="0"/>
    </xf>
    <xf numFmtId="3" fontId="9" fillId="9" borderId="12" xfId="0" applyNumberFormat="1" applyFont="1" applyFill="1" applyBorder="1" applyAlignment="1" applyProtection="1">
      <alignment vertical="center"/>
      <protection locked="0"/>
    </xf>
    <xf numFmtId="9" fontId="9" fillId="9" borderId="12" xfId="0" applyNumberFormat="1" applyFont="1" applyFill="1" applyBorder="1" applyAlignment="1" applyProtection="1">
      <alignment vertical="center"/>
      <protection locked="0"/>
    </xf>
    <xf numFmtId="3" fontId="9" fillId="9" borderId="13" xfId="0" applyNumberFormat="1" applyFont="1" applyFill="1" applyBorder="1" applyAlignment="1" applyProtection="1">
      <alignment vertical="center"/>
      <protection locked="0"/>
    </xf>
    <xf numFmtId="3" fontId="20" fillId="5" borderId="0" xfId="0" applyNumberFormat="1" applyFont="1" applyFill="1" applyAlignment="1" applyProtection="1">
      <alignment vertical="center"/>
      <protection hidden="1"/>
    </xf>
    <xf numFmtId="166" fontId="20" fillId="5" borderId="0" xfId="0" applyNumberFormat="1" applyFont="1" applyFill="1" applyAlignment="1" applyProtection="1">
      <alignment vertical="center"/>
      <protection hidden="1"/>
    </xf>
    <xf numFmtId="164" fontId="9" fillId="9" borderId="12" xfId="1" applyNumberFormat="1" applyFont="1" applyFill="1" applyBorder="1" applyAlignment="1" applyProtection="1">
      <alignment vertical="center"/>
      <protection locked="0"/>
    </xf>
    <xf numFmtId="168" fontId="9" fillId="9" borderId="13" xfId="1" applyNumberFormat="1" applyFont="1" applyFill="1" applyBorder="1" applyAlignment="1" applyProtection="1">
      <alignment vertical="center"/>
      <protection locked="0"/>
    </xf>
    <xf numFmtId="3" fontId="5" fillId="4" borderId="0" xfId="0" applyNumberFormat="1" applyFont="1" applyFill="1" applyAlignment="1" applyProtection="1">
      <alignment horizontal="center" vertical="center" wrapText="1"/>
      <protection hidden="1"/>
    </xf>
    <xf numFmtId="3" fontId="21" fillId="2" borderId="0" xfId="0" applyNumberFormat="1" applyFont="1" applyFill="1" applyAlignment="1" applyProtection="1">
      <alignment horizontal="left" vertical="center"/>
      <protection hidden="1"/>
    </xf>
    <xf numFmtId="3" fontId="9" fillId="9" borderId="14" xfId="0" applyNumberFormat="1" applyFont="1" applyFill="1" applyBorder="1" applyAlignment="1" applyProtection="1">
      <alignment vertical="center"/>
      <protection locked="0"/>
    </xf>
    <xf numFmtId="9" fontId="22" fillId="9" borderId="15" xfId="1" applyFont="1" applyFill="1" applyBorder="1" applyAlignment="1" applyProtection="1">
      <alignment horizontal="center" vertical="center"/>
      <protection locked="0"/>
    </xf>
    <xf numFmtId="5" fontId="22" fillId="9" borderId="16" xfId="2" applyNumberFormat="1" applyFont="1" applyFill="1" applyBorder="1" applyAlignment="1" applyProtection="1">
      <alignment horizontal="center" vertical="center" wrapText="1"/>
      <protection locked="0"/>
    </xf>
    <xf numFmtId="9" fontId="22" fillId="9" borderId="16" xfId="1" applyFont="1" applyFill="1" applyBorder="1" applyAlignment="1" applyProtection="1">
      <alignment horizontal="center" vertical="center" wrapText="1"/>
      <protection locked="0"/>
    </xf>
    <xf numFmtId="0" fontId="2" fillId="0" borderId="0" xfId="4"/>
    <xf numFmtId="0" fontId="23" fillId="0" borderId="0" xfId="0" applyFont="1" applyAlignment="1">
      <alignment horizontal="left" vertical="center"/>
    </xf>
    <xf numFmtId="0" fontId="2" fillId="0" borderId="0" xfId="4" applyAlignment="1">
      <alignment vertical="center" wrapText="1"/>
    </xf>
    <xf numFmtId="0" fontId="1" fillId="0" borderId="17" xfId="4" applyFont="1" applyBorder="1" applyAlignment="1">
      <alignment horizontal="center" vertical="center" wrapText="1"/>
    </xf>
    <xf numFmtId="0" fontId="1" fillId="0" borderId="18" xfId="4" applyFont="1" applyBorder="1" applyAlignment="1">
      <alignment horizontal="center" vertical="center" wrapText="1"/>
    </xf>
    <xf numFmtId="0" fontId="1" fillId="0" borderId="19" xfId="4" applyFont="1" applyBorder="1" applyAlignment="1">
      <alignment horizontal="center" vertical="center" wrapText="1"/>
    </xf>
    <xf numFmtId="0" fontId="1" fillId="0" borderId="20" xfId="4" applyFont="1" applyBorder="1" applyAlignment="1">
      <alignment horizontal="center" vertical="center" wrapText="1"/>
    </xf>
    <xf numFmtId="0" fontId="1" fillId="0" borderId="0" xfId="4" applyFont="1" applyAlignment="1">
      <alignment horizontal="center" vertical="center" wrapText="1"/>
    </xf>
    <xf numFmtId="0" fontId="1" fillId="0" borderId="21" xfId="4" applyFont="1" applyBorder="1" applyAlignment="1">
      <alignment horizontal="center" vertical="center" wrapText="1"/>
    </xf>
    <xf numFmtId="0" fontId="1" fillId="0" borderId="22" xfId="4" applyFont="1" applyBorder="1" applyAlignment="1">
      <alignment horizontal="center" vertical="center" wrapText="1"/>
    </xf>
    <xf numFmtId="0" fontId="1" fillId="0" borderId="23" xfId="4" applyFont="1" applyBorder="1" applyAlignment="1">
      <alignment horizontal="center" vertical="center" wrapText="1"/>
    </xf>
    <xf numFmtId="0" fontId="1" fillId="0" borderId="24" xfId="4" applyFont="1" applyBorder="1" applyAlignment="1">
      <alignment horizontal="center" vertical="center" wrapText="1"/>
    </xf>
    <xf numFmtId="3" fontId="12" fillId="10" borderId="0" xfId="0" applyNumberFormat="1" applyFont="1" applyFill="1" applyAlignment="1" applyProtection="1">
      <alignment horizontal="left" vertical="top" wrapText="1"/>
      <protection hidden="1"/>
    </xf>
    <xf numFmtId="167" fontId="12" fillId="10" borderId="0" xfId="0" applyNumberFormat="1" applyFont="1" applyFill="1" applyAlignment="1" applyProtection="1">
      <alignment horizontal="right" vertical="top"/>
      <protection hidden="1"/>
    </xf>
    <xf numFmtId="3" fontId="4" fillId="2" borderId="0" xfId="0" applyNumberFormat="1" applyFont="1" applyFill="1" applyAlignment="1" applyProtection="1">
      <alignment horizontal="left" vertical="top" wrapText="1"/>
      <protection hidden="1"/>
    </xf>
    <xf numFmtId="3" fontId="4" fillId="2" borderId="0" xfId="0" applyNumberFormat="1" applyFont="1" applyFill="1" applyAlignment="1" applyProtection="1">
      <alignment horizontal="left" vertical="center" wrapText="1"/>
      <protection hidden="1"/>
    </xf>
    <xf numFmtId="9" fontId="9" fillId="9" borderId="11" xfId="1" applyFont="1" applyFill="1" applyBorder="1" applyAlignment="1" applyProtection="1">
      <alignment vertical="center"/>
      <protection locked="0"/>
    </xf>
    <xf numFmtId="9" fontId="9" fillId="9" borderId="12" xfId="1" applyFont="1" applyFill="1" applyBorder="1" applyAlignment="1" applyProtection="1">
      <alignment vertical="center"/>
      <protection locked="0"/>
    </xf>
    <xf numFmtId="165" fontId="9" fillId="9" borderId="12" xfId="0" applyNumberFormat="1" applyFont="1" applyFill="1" applyBorder="1" applyAlignment="1" applyProtection="1">
      <alignment vertical="center"/>
      <protection locked="0"/>
    </xf>
    <xf numFmtId="3" fontId="12" fillId="5" borderId="0" xfId="0" applyNumberFormat="1" applyFont="1" applyFill="1" applyAlignment="1" applyProtection="1">
      <alignment horizontal="left" vertical="center" wrapText="1"/>
      <protection hidden="1"/>
    </xf>
    <xf numFmtId="3" fontId="5" fillId="4" borderId="0" xfId="0" applyNumberFormat="1" applyFont="1" applyFill="1" applyAlignment="1" applyProtection="1">
      <alignment horizontal="center" vertical="center" textRotation="90" wrapText="1"/>
      <protection hidden="1"/>
    </xf>
    <xf numFmtId="3" fontId="5" fillId="4" borderId="0" xfId="0" applyNumberFormat="1" applyFont="1" applyFill="1" applyAlignment="1" applyProtection="1">
      <alignment horizontal="center" vertical="center"/>
      <protection hidden="1"/>
    </xf>
  </cellXfs>
  <cellStyles count="5">
    <cellStyle name="Normal" xfId="0" builtinId="0"/>
    <cellStyle name="Normal 2" xfId="4" xr:uid="{559994F6-BBAD-4615-8DAC-91141959C02A}"/>
    <cellStyle name="Procent" xfId="1" builtinId="5"/>
    <cellStyle name="Rubrik" xfId="3" builtinId="15"/>
    <cellStyle name="Valuta" xfId="2" builtinId="4"/>
  </cellStyles>
  <dxfs count="0"/>
  <tableStyles count="0" defaultTableStyle="TableStyleMedium9" defaultPivotStyle="PivotStyleLight16"/>
  <colors>
    <mruColors>
      <color rgb="FFE2DFCC"/>
      <color rgb="FFEEECE1"/>
      <color rgb="FFD6D2B8"/>
      <color rgb="FFDCD8C2"/>
      <color rgb="FFE1DEC9"/>
      <color rgb="FFF6F5EE"/>
      <color rgb="FFFEFE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164212</xdr:colOff>
      <xdr:row>7</xdr:row>
      <xdr:rowOff>35657</xdr:rowOff>
    </xdr:from>
    <xdr:to>
      <xdr:col>18</xdr:col>
      <xdr:colOff>212480</xdr:colOff>
      <xdr:row>10</xdr:row>
      <xdr:rowOff>80597</xdr:rowOff>
    </xdr:to>
    <xdr:sp macro="" textlink="">
      <xdr:nvSpPr>
        <xdr:cNvPr id="14" name="Pratbubbla: rektangel med rundade hörn 5">
          <a:extLst>
            <a:ext uri="{FF2B5EF4-FFF2-40B4-BE49-F238E27FC236}">
              <a16:creationId xmlns:a16="http://schemas.microsoft.com/office/drawing/2014/main" id="{2F2D55D5-A5FC-843B-35AA-4A77AAEE79A4}"/>
            </a:ext>
          </a:extLst>
        </xdr:cNvPr>
        <xdr:cNvSpPr/>
      </xdr:nvSpPr>
      <xdr:spPr>
        <a:xfrm>
          <a:off x="11887289" y="1178657"/>
          <a:ext cx="927499" cy="484555"/>
        </a:xfrm>
        <a:prstGeom prst="wedgeRoundRectCallout">
          <a:avLst>
            <a:gd name="adj1" fmla="val -56849"/>
            <a:gd name="adj2" fmla="val 25045"/>
            <a:gd name="adj3" fmla="val 16667"/>
          </a:avLst>
        </a:prstGeom>
        <a:solidFill>
          <a:srgbClr val="EEECE1"/>
        </a:solidFill>
        <a:ln>
          <a:solidFill>
            <a:srgbClr val="E2DFCC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t"/>
        <a:lstStyle/>
        <a:p>
          <a:pPr marL="0" indent="0" algn="l"/>
          <a:r>
            <a:rPr lang="sv-SE" sz="8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Stegen i känslighets-analysen</a:t>
          </a:r>
          <a:r>
            <a:rPr lang="sv-SE" sz="800" b="0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kan justeras i markerade rutor-</a:t>
          </a:r>
          <a:endParaRPr lang="sv-SE" sz="800" b="0">
            <a:solidFill>
              <a:schemeClr val="dk1"/>
            </a:solidFill>
            <a:latin typeface="Arial Narrow" panose="020B060602020203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123720</xdr:colOff>
      <xdr:row>1</xdr:row>
      <xdr:rowOff>0</xdr:rowOff>
    </xdr:from>
    <xdr:to>
      <xdr:col>6</xdr:col>
      <xdr:colOff>0</xdr:colOff>
      <xdr:row>4</xdr:row>
      <xdr:rowOff>19878</xdr:rowOff>
    </xdr:to>
    <xdr:sp macro="" textlink="">
      <xdr:nvSpPr>
        <xdr:cNvPr id="9" name="Pratbubbla: rektangel med rundade hörn 8">
          <a:extLst>
            <a:ext uri="{FF2B5EF4-FFF2-40B4-BE49-F238E27FC236}">
              <a16:creationId xmlns:a16="http://schemas.microsoft.com/office/drawing/2014/main" id="{D5A50CBD-4023-9F90-70F6-2AC93482D5CD}"/>
            </a:ext>
          </a:extLst>
        </xdr:cNvPr>
        <xdr:cNvSpPr/>
      </xdr:nvSpPr>
      <xdr:spPr>
        <a:xfrm>
          <a:off x="4368060" y="266700"/>
          <a:ext cx="684000" cy="431358"/>
        </a:xfrm>
        <a:prstGeom prst="wedgeRoundRectCallout">
          <a:avLst>
            <a:gd name="adj1" fmla="val -24193"/>
            <a:gd name="adj2" fmla="val 58825"/>
            <a:gd name="adj3" fmla="val 16667"/>
          </a:avLst>
        </a:prstGeom>
        <a:solidFill>
          <a:srgbClr val="EEECE1"/>
        </a:solidFill>
        <a:ln>
          <a:solidFill>
            <a:srgbClr val="E2DFCC"/>
          </a:solidFill>
        </a:ln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36000" tIns="0" rIns="0" bIns="0" rtlCol="0" anchor="ctr"/>
        <a:lstStyle/>
        <a:p>
          <a:pPr marL="0" indent="0" algn="l"/>
          <a:r>
            <a:rPr lang="sv-SE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Fyll</a:t>
          </a:r>
          <a:r>
            <a:rPr lang="sv-SE" sz="900" b="0" baseline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i</a:t>
          </a:r>
          <a:r>
            <a:rPr lang="sv-SE" sz="900" b="0">
              <a:solidFill>
                <a:schemeClr val="dk1"/>
              </a:solidFill>
              <a:latin typeface="Arial Narrow" panose="020B0606020202030204" pitchFamily="34" charset="0"/>
              <a:ea typeface="+mn-ea"/>
              <a:cs typeface="+mn-cs"/>
            </a:rPr>
            <a:t> dina värden här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rostat glas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  <a:satMod val="100000"/>
              </a:schemeClr>
            </a:gs>
            <a:gs pos="68000">
              <a:schemeClr val="phClr">
                <a:tint val="77000"/>
                <a:satMod val="100000"/>
              </a:schemeClr>
            </a:gs>
            <a:gs pos="81000">
              <a:schemeClr val="phClr">
                <a:tint val="79000"/>
                <a:satMod val="100000"/>
              </a:schemeClr>
            </a:gs>
            <a:gs pos="86000">
              <a:schemeClr val="phClr">
                <a:tint val="73000"/>
                <a:satMod val="100000"/>
              </a:schemeClr>
            </a:gs>
            <a:gs pos="100000">
              <a:schemeClr val="phClr">
                <a:tint val="35000"/>
                <a:sat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73000"/>
                <a:shade val="100000"/>
                <a:satMod val="150000"/>
              </a:schemeClr>
            </a:gs>
            <a:gs pos="25000">
              <a:schemeClr val="phClr">
                <a:tint val="96000"/>
                <a:shade val="80000"/>
                <a:satMod val="105000"/>
              </a:schemeClr>
            </a:gs>
            <a:gs pos="38000">
              <a:schemeClr val="phClr">
                <a:tint val="96000"/>
                <a:shade val="59000"/>
                <a:satMod val="120000"/>
              </a:schemeClr>
            </a:gs>
            <a:gs pos="55000">
              <a:schemeClr val="phClr">
                <a:tint val="100000"/>
                <a:shade val="57000"/>
                <a:satMod val="120000"/>
              </a:schemeClr>
            </a:gs>
            <a:gs pos="80000">
              <a:schemeClr val="phClr">
                <a:tint val="100000"/>
                <a:shade val="56000"/>
                <a:satMod val="145000"/>
              </a:schemeClr>
            </a:gs>
            <a:gs pos="88000">
              <a:schemeClr val="phClr">
                <a:tint val="100000"/>
                <a:shade val="63000"/>
                <a:satMod val="160000"/>
              </a:schemeClr>
            </a:gs>
            <a:gs pos="100000">
              <a:schemeClr val="phClr">
                <a:tint val="99000"/>
                <a:shade val="100000"/>
                <a:satMod val="155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  <a:scene3d>
            <a:camera prst="orthographicFront">
              <a:rot lat="0" lon="0" rev="0"/>
            </a:camera>
            <a:lightRig rig="glow" dir="tl">
              <a:rot lat="0" lon="0" rev="1800000"/>
            </a:lightRig>
          </a:scene3d>
          <a:sp3d contourW="10160" prstMaterial="dkEdge">
            <a:bevelT w="0" h="0" prst="angle"/>
            <a:contourClr>
              <a:schemeClr val="phClr">
                <a:shade val="30000"/>
                <a:satMod val="150000"/>
              </a:schemeClr>
            </a:contourClr>
          </a:sp3d>
        </a:effectStyle>
        <a:effectStyle>
          <a:effectLst>
            <a:glow rad="50800">
              <a:schemeClr val="phClr">
                <a:tint val="68000"/>
                <a:shade val="93000"/>
                <a:alpha val="37000"/>
                <a:satMod val="250000"/>
              </a:schemeClr>
            </a:glow>
          </a:effectLst>
          <a:scene3d>
            <a:camera prst="orthographicFront">
              <a:rot lat="0" lon="0" rev="0"/>
            </a:camera>
            <a:lightRig rig="glow" dir="t">
              <a:rot lat="0" lon="0" rev="1800000"/>
            </a:lightRig>
          </a:scene3d>
          <a:sp3d contourW="10160" prstMaterial="dkEdge">
            <a:bevelT w="20320" h="19050" prst="angle"/>
            <a:contourClr>
              <a:schemeClr val="phClr">
                <a:shade val="3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43CB1-98B7-427A-888E-11B8C245ECD4}">
  <dimension ref="A1:T23"/>
  <sheetViews>
    <sheetView workbookViewId="0">
      <selection activeCell="P15" sqref="P15"/>
    </sheetView>
  </sheetViews>
  <sheetFormatPr defaultRowHeight="14.5" x14ac:dyDescent="0.35"/>
  <cols>
    <col min="1" max="16384" width="8.7265625" style="81"/>
  </cols>
  <sheetData>
    <row r="1" spans="1:20" ht="14.5" customHeight="1" x14ac:dyDescent="0.35">
      <c r="A1" s="84" t="s">
        <v>61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6"/>
      <c r="O1" s="83"/>
      <c r="P1" s="83"/>
      <c r="Q1" s="83"/>
      <c r="R1" s="83"/>
      <c r="S1" s="83"/>
      <c r="T1" s="83"/>
    </row>
    <row r="2" spans="1:20" x14ac:dyDescent="0.35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9"/>
      <c r="O2" s="83"/>
      <c r="P2" s="83"/>
      <c r="Q2" s="83"/>
      <c r="R2" s="83"/>
      <c r="S2" s="83"/>
      <c r="T2" s="83"/>
    </row>
    <row r="3" spans="1:20" x14ac:dyDescent="0.35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9"/>
      <c r="O3" s="83"/>
      <c r="P3" s="83"/>
      <c r="Q3" s="83"/>
      <c r="R3" s="83"/>
      <c r="S3" s="83"/>
      <c r="T3" s="83"/>
    </row>
    <row r="4" spans="1:20" x14ac:dyDescent="0.35">
      <c r="A4" s="8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9"/>
      <c r="O4" s="83"/>
      <c r="P4" s="83"/>
      <c r="Q4" s="83"/>
      <c r="R4" s="83"/>
      <c r="S4" s="83"/>
      <c r="T4" s="83"/>
    </row>
    <row r="5" spans="1:20" x14ac:dyDescent="0.35">
      <c r="A5" s="87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9"/>
      <c r="O5" s="83"/>
      <c r="P5" s="83"/>
      <c r="Q5" s="83"/>
      <c r="R5" s="83"/>
      <c r="S5" s="83"/>
      <c r="T5" s="83"/>
    </row>
    <row r="6" spans="1:20" x14ac:dyDescent="0.35">
      <c r="A6" s="87"/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9"/>
      <c r="O6" s="83"/>
      <c r="P6" s="83"/>
      <c r="Q6" s="83"/>
      <c r="R6" s="83"/>
      <c r="S6" s="83"/>
      <c r="T6" s="83"/>
    </row>
    <row r="7" spans="1:20" x14ac:dyDescent="0.35">
      <c r="A7" s="87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9"/>
      <c r="O7" s="83"/>
      <c r="P7" s="83"/>
      <c r="Q7" s="83"/>
      <c r="R7" s="83"/>
      <c r="S7" s="83"/>
      <c r="T7" s="83"/>
    </row>
    <row r="8" spans="1:20" x14ac:dyDescent="0.35">
      <c r="A8" s="87"/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9"/>
      <c r="O8" s="83"/>
      <c r="P8" s="83"/>
      <c r="Q8" s="83"/>
      <c r="R8" s="83"/>
      <c r="S8" s="83"/>
      <c r="T8" s="83"/>
    </row>
    <row r="9" spans="1:20" x14ac:dyDescent="0.35">
      <c r="A9" s="87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9"/>
      <c r="O9" s="83"/>
      <c r="P9" s="83"/>
      <c r="Q9" s="83"/>
      <c r="R9" s="83"/>
      <c r="S9" s="83"/>
      <c r="T9" s="83"/>
    </row>
    <row r="10" spans="1:20" x14ac:dyDescent="0.35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9"/>
      <c r="O10" s="83"/>
      <c r="P10" s="83"/>
      <c r="Q10" s="83"/>
      <c r="R10" s="83"/>
      <c r="S10" s="83"/>
      <c r="T10" s="83"/>
    </row>
    <row r="11" spans="1:20" x14ac:dyDescent="0.35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9"/>
      <c r="O11" s="83"/>
      <c r="P11" s="83"/>
      <c r="Q11" s="83"/>
      <c r="R11" s="83"/>
      <c r="S11" s="83"/>
      <c r="T11" s="83"/>
    </row>
    <row r="12" spans="1:20" x14ac:dyDescent="0.35">
      <c r="A12" s="87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9"/>
      <c r="O12" s="83"/>
      <c r="P12" s="83"/>
      <c r="Q12" s="83"/>
      <c r="R12" s="83"/>
      <c r="S12" s="83"/>
      <c r="T12" s="83"/>
    </row>
    <row r="13" spans="1:20" x14ac:dyDescent="0.35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9"/>
      <c r="O13" s="83"/>
      <c r="P13" s="83"/>
      <c r="Q13" s="83"/>
      <c r="R13" s="83"/>
      <c r="S13" s="83"/>
      <c r="T13" s="83"/>
    </row>
    <row r="14" spans="1:20" x14ac:dyDescent="0.35">
      <c r="A14" s="87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9"/>
      <c r="O14" s="83"/>
      <c r="P14" s="83"/>
      <c r="Q14" s="83"/>
      <c r="R14" s="83"/>
      <c r="S14" s="83"/>
      <c r="T14" s="83"/>
    </row>
    <row r="15" spans="1:20" x14ac:dyDescent="0.3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9"/>
      <c r="O15" s="83"/>
      <c r="P15" s="83"/>
      <c r="Q15" s="83"/>
      <c r="R15" s="83"/>
      <c r="S15" s="83"/>
      <c r="T15" s="83"/>
    </row>
    <row r="16" spans="1:20" x14ac:dyDescent="0.35">
      <c r="A16" s="87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9"/>
      <c r="O16" s="83"/>
      <c r="P16" s="83"/>
      <c r="Q16" s="83"/>
      <c r="R16" s="83"/>
      <c r="S16" s="83"/>
      <c r="T16" s="83"/>
    </row>
    <row r="17" spans="1:20" x14ac:dyDescent="0.3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9"/>
      <c r="O17" s="83"/>
      <c r="P17" s="83"/>
      <c r="Q17" s="83"/>
      <c r="R17" s="83"/>
      <c r="S17" s="83"/>
      <c r="T17" s="83"/>
    </row>
    <row r="18" spans="1:20" x14ac:dyDescent="0.35">
      <c r="A18" s="87"/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9"/>
    </row>
    <row r="19" spans="1:20" x14ac:dyDescent="0.35">
      <c r="A19" s="87"/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/>
    </row>
    <row r="20" spans="1:20" ht="15" thickBot="1" x14ac:dyDescent="0.4">
      <c r="A20" s="90"/>
      <c r="B20" s="91"/>
      <c r="C20" s="91"/>
      <c r="D20" s="91"/>
      <c r="E20" s="91"/>
      <c r="F20" s="91"/>
      <c r="G20" s="91"/>
      <c r="H20" s="91"/>
      <c r="I20" s="91"/>
      <c r="J20" s="91"/>
      <c r="K20" s="91"/>
      <c r="L20" s="91"/>
      <c r="M20" s="91"/>
      <c r="N20" s="92"/>
    </row>
    <row r="21" spans="1:20" x14ac:dyDescent="0.35">
      <c r="A21" s="82"/>
    </row>
    <row r="22" spans="1:20" x14ac:dyDescent="0.35">
      <c r="A22" s="82"/>
    </row>
    <row r="23" spans="1:20" x14ac:dyDescent="0.35">
      <c r="A23" s="82"/>
    </row>
  </sheetData>
  <mergeCells count="1">
    <mergeCell ref="A1:N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Q63"/>
  <sheetViews>
    <sheetView tabSelected="1" zoomScale="130" zoomScaleNormal="130" zoomScaleSheetLayoutView="100" workbookViewId="0">
      <selection activeCell="I8" sqref="I8"/>
    </sheetView>
  </sheetViews>
  <sheetFormatPr defaultColWidth="9.26953125" defaultRowHeight="11.25" customHeight="1" x14ac:dyDescent="0.25"/>
  <cols>
    <col min="1" max="1" width="3.7265625" style="2" customWidth="1"/>
    <col min="2" max="2" width="56.7265625" style="2" customWidth="1"/>
    <col min="3" max="3" width="0.54296875" style="22" customWidth="1"/>
    <col min="4" max="4" width="0.7265625" style="2" customWidth="1"/>
    <col min="5" max="5" width="11" style="2" bestFit="1" customWidth="1"/>
    <col min="6" max="6" width="0.7265625" style="2" customWidth="1"/>
    <col min="7" max="7" width="3.26953125" style="22" customWidth="1"/>
    <col min="8" max="8" width="23.54296875" style="2" bestFit="1" customWidth="1"/>
    <col min="9" max="9" width="7.26953125" style="2" bestFit="1" customWidth="1"/>
    <col min="10" max="10" width="2.7265625" style="2" customWidth="1"/>
    <col min="11" max="14" width="9.26953125" style="2"/>
    <col min="15" max="17" width="9.26953125" style="2" bestFit="1" customWidth="1"/>
    <col min="18" max="19" width="13.1796875" style="2" customWidth="1"/>
    <col min="20" max="16384" width="9.26953125" style="2"/>
  </cols>
  <sheetData>
    <row r="1" spans="2:17" ht="21" x14ac:dyDescent="0.25">
      <c r="B1" s="21" t="s">
        <v>0</v>
      </c>
    </row>
    <row r="5" spans="2:17" ht="11.25" customHeight="1" thickBot="1" x14ac:dyDescent="0.3">
      <c r="B5" s="76" t="s">
        <v>1</v>
      </c>
      <c r="H5" s="23"/>
      <c r="K5" s="76" t="s">
        <v>60</v>
      </c>
    </row>
    <row r="6" spans="2:17" ht="11.25" customHeight="1" x14ac:dyDescent="0.25">
      <c r="D6" s="24"/>
      <c r="E6" s="25"/>
      <c r="F6" s="26"/>
    </row>
    <row r="7" spans="2:17" ht="11.5" customHeight="1" x14ac:dyDescent="0.25">
      <c r="B7" s="1" t="s">
        <v>2</v>
      </c>
      <c r="C7" s="27"/>
      <c r="D7" s="28"/>
      <c r="E7" s="1" t="s">
        <v>3</v>
      </c>
      <c r="F7" s="29"/>
      <c r="G7" s="30"/>
      <c r="H7" s="1" t="s">
        <v>4</v>
      </c>
      <c r="I7" s="1" t="s">
        <v>5</v>
      </c>
      <c r="K7" s="100" t="s">
        <v>6</v>
      </c>
      <c r="L7" s="100"/>
      <c r="M7" s="100"/>
      <c r="N7" s="100"/>
      <c r="O7" s="100"/>
      <c r="P7" s="100"/>
      <c r="Q7" s="100"/>
    </row>
    <row r="8" spans="2:17" ht="11.5" customHeight="1" x14ac:dyDescent="0.25">
      <c r="B8" s="75" t="s">
        <v>7</v>
      </c>
      <c r="C8" s="31"/>
      <c r="D8" s="32"/>
      <c r="E8" s="3"/>
      <c r="F8" s="33"/>
      <c r="G8" s="34"/>
      <c r="H8" s="3" t="s">
        <v>8</v>
      </c>
      <c r="I8" s="14">
        <f>SUM(I9:I13)</f>
        <v>300.27479625000001</v>
      </c>
      <c r="K8" s="100" t="s">
        <v>9</v>
      </c>
      <c r="L8" s="100"/>
      <c r="M8" s="100"/>
      <c r="N8" s="100"/>
      <c r="O8" s="100"/>
      <c r="P8" s="100"/>
      <c r="Q8" s="100"/>
    </row>
    <row r="9" spans="2:17" ht="11.5" customHeight="1" x14ac:dyDescent="0.25">
      <c r="B9" s="35" t="s">
        <v>10</v>
      </c>
      <c r="C9" s="35"/>
      <c r="D9" s="36"/>
      <c r="E9" s="67">
        <v>27900</v>
      </c>
      <c r="F9" s="37"/>
      <c r="G9" s="38"/>
      <c r="H9" s="4" t="s">
        <v>11</v>
      </c>
      <c r="I9" s="15">
        <f>E9/E10</f>
        <v>174.375</v>
      </c>
      <c r="K9" s="5"/>
      <c r="L9" s="102" t="str">
        <f>CONCATENATE("Personalsidokostnader påslag %")</f>
        <v>Personalsidokostnader påslag %</v>
      </c>
      <c r="M9" s="102"/>
      <c r="N9" s="102"/>
      <c r="O9" s="102"/>
      <c r="P9" s="102"/>
      <c r="Q9" s="78">
        <v>0.02</v>
      </c>
    </row>
    <row r="10" spans="2:17" ht="11.5" customHeight="1" x14ac:dyDescent="0.25">
      <c r="B10" s="35" t="s">
        <v>12</v>
      </c>
      <c r="C10" s="35"/>
      <c r="D10" s="36"/>
      <c r="E10" s="68">
        <v>160</v>
      </c>
      <c r="F10" s="37"/>
      <c r="G10" s="38"/>
      <c r="I10" s="15"/>
      <c r="K10" s="101" t="s">
        <v>13</v>
      </c>
      <c r="L10" s="6">
        <f>+T36</f>
        <v>0</v>
      </c>
      <c r="M10" s="19">
        <f>N10-$Q$9</f>
        <v>0.682006</v>
      </c>
      <c r="N10" s="19">
        <f>O10-$Q$9</f>
        <v>0.70200600000000002</v>
      </c>
      <c r="O10" s="7">
        <f>E14</f>
        <v>0.72200600000000004</v>
      </c>
      <c r="P10" s="19">
        <f>O10+$Q$9</f>
        <v>0.74200600000000005</v>
      </c>
      <c r="Q10" s="19">
        <f>P10+$Q$9</f>
        <v>0.76200600000000007</v>
      </c>
    </row>
    <row r="11" spans="2:17" ht="11.5" customHeight="1" x14ac:dyDescent="0.25">
      <c r="B11" s="35" t="s">
        <v>14</v>
      </c>
      <c r="C11" s="35"/>
      <c r="D11" s="36"/>
      <c r="E11" s="73">
        <v>0.1</v>
      </c>
      <c r="F11" s="39"/>
      <c r="G11" s="40"/>
      <c r="H11" s="4" t="s">
        <v>15</v>
      </c>
      <c r="I11" s="15">
        <f>$I$9*E11</f>
        <v>17.4375</v>
      </c>
      <c r="K11" s="101"/>
      <c r="L11" s="18">
        <f>L12-$K$17</f>
        <v>25500</v>
      </c>
      <c r="M11" s="8">
        <f>$L11/$E$10*(1+M$10)+$I$16+$I$22+($L11/$E$10)*(1+M$10)/(1-$E$35)-($L11/$E$10)*(1+M$10)</f>
        <v>406.70672321428572</v>
      </c>
      <c r="N11" s="8">
        <f t="shared" ref="N11:Q17" si="0">$L11/$E$10*(1+N$10)+$I$16+$I$22+($L11/$E$10)*(1+N$10)/(1-$E$35)-($L11/$E$10)*(1+N$10)</f>
        <v>411.26029464285705</v>
      </c>
      <c r="O11" s="11">
        <f t="shared" si="0"/>
        <v>415.81386607142861</v>
      </c>
      <c r="P11" s="8">
        <f t="shared" si="0"/>
        <v>420.36743749999994</v>
      </c>
      <c r="Q11" s="8">
        <f t="shared" si="0"/>
        <v>424.92100892857138</v>
      </c>
    </row>
    <row r="12" spans="2:17" ht="11.5" customHeight="1" x14ac:dyDescent="0.25">
      <c r="B12" s="35" t="s">
        <v>16</v>
      </c>
      <c r="C12" s="35"/>
      <c r="D12" s="36"/>
      <c r="E12" s="73">
        <v>7.0000000000000007E-2</v>
      </c>
      <c r="F12" s="39"/>
      <c r="G12" s="40"/>
      <c r="H12" s="4" t="s">
        <v>17</v>
      </c>
      <c r="I12" s="15">
        <f>$I$9*E12</f>
        <v>12.206250000000001</v>
      </c>
      <c r="K12" s="101"/>
      <c r="L12" s="18">
        <f>L13-$K$17</f>
        <v>26300</v>
      </c>
      <c r="M12" s="8">
        <f t="shared" ref="M12:M17" si="1">$L12/$E$10*(1+M$10)+$I$16+$I$22+($L12/$E$10)*(1+M$10)/(1-$E$35)-($L12/$E$10)*(1+M$10)</f>
        <v>418.72105178571428</v>
      </c>
      <c r="N12" s="8">
        <f t="shared" si="0"/>
        <v>423.41748035714295</v>
      </c>
      <c r="O12" s="11">
        <f t="shared" si="0"/>
        <v>428.11390892857133</v>
      </c>
      <c r="P12" s="8">
        <f t="shared" si="0"/>
        <v>432.8103375</v>
      </c>
      <c r="Q12" s="8">
        <f t="shared" si="0"/>
        <v>437.50676607142867</v>
      </c>
    </row>
    <row r="13" spans="2:17" ht="11.5" customHeight="1" x14ac:dyDescent="0.25">
      <c r="B13" s="35" t="s">
        <v>18</v>
      </c>
      <c r="C13" s="35"/>
      <c r="D13" s="36"/>
      <c r="E13" s="74">
        <v>0.4718</v>
      </c>
      <c r="F13" s="39"/>
      <c r="G13" s="40"/>
      <c r="H13" s="4" t="s">
        <v>19</v>
      </c>
      <c r="I13" s="15">
        <f>(I9+I11+I12)*E13</f>
        <v>96.256046250000011</v>
      </c>
      <c r="K13" s="101"/>
      <c r="L13" s="18">
        <f>L14-$K$17</f>
        <v>27100</v>
      </c>
      <c r="M13" s="8">
        <f t="shared" si="1"/>
        <v>430.73538035714284</v>
      </c>
      <c r="N13" s="8">
        <f t="shared" si="0"/>
        <v>435.57466607142857</v>
      </c>
      <c r="O13" s="11">
        <f t="shared" si="0"/>
        <v>440.41395178571435</v>
      </c>
      <c r="P13" s="8">
        <f t="shared" si="0"/>
        <v>445.25323750000007</v>
      </c>
      <c r="Q13" s="8">
        <f t="shared" si="0"/>
        <v>450.09252321428568</v>
      </c>
    </row>
    <row r="14" spans="2:17" ht="11.5" customHeight="1" x14ac:dyDescent="0.25">
      <c r="B14" s="41" t="s">
        <v>20</v>
      </c>
      <c r="C14" s="42"/>
      <c r="D14" s="43"/>
      <c r="E14" s="44">
        <f>SUM(E11:E13)+E13*(E12+E11)</f>
        <v>0.72200600000000004</v>
      </c>
      <c r="F14" s="45"/>
      <c r="G14" s="46"/>
      <c r="H14" s="41" t="s">
        <v>21</v>
      </c>
      <c r="I14" s="20">
        <f>SUM(I11:I13)</f>
        <v>125.89979625000001</v>
      </c>
      <c r="K14" s="101"/>
      <c r="L14" s="13">
        <f>E9</f>
        <v>27900</v>
      </c>
      <c r="M14" s="11">
        <f t="shared" si="1"/>
        <v>442.74970892857141</v>
      </c>
      <c r="N14" s="11">
        <f t="shared" si="0"/>
        <v>447.73185178571435</v>
      </c>
      <c r="O14" s="12">
        <f t="shared" si="0"/>
        <v>452.71399464285719</v>
      </c>
      <c r="P14" s="11">
        <f t="shared" si="0"/>
        <v>457.69613749999996</v>
      </c>
      <c r="Q14" s="11">
        <f t="shared" si="0"/>
        <v>462.67828035714291</v>
      </c>
    </row>
    <row r="15" spans="2:17" ht="11.5" customHeight="1" x14ac:dyDescent="0.25">
      <c r="B15" s="41"/>
      <c r="C15" s="42"/>
      <c r="D15" s="43"/>
      <c r="E15" s="44"/>
      <c r="F15" s="45"/>
      <c r="G15" s="46"/>
      <c r="H15" s="41"/>
      <c r="I15" s="20"/>
      <c r="K15" s="101"/>
      <c r="L15" s="18">
        <f>L14+$K$17</f>
        <v>28700</v>
      </c>
      <c r="M15" s="8">
        <f t="shared" si="1"/>
        <v>454.76403749999997</v>
      </c>
      <c r="N15" s="8">
        <f t="shared" si="0"/>
        <v>459.88903749999997</v>
      </c>
      <c r="O15" s="11">
        <f t="shared" si="0"/>
        <v>465.01403750000003</v>
      </c>
      <c r="P15" s="8">
        <f t="shared" si="0"/>
        <v>470.13903750000003</v>
      </c>
      <c r="Q15" s="8">
        <f t="shared" si="0"/>
        <v>475.26403750000009</v>
      </c>
    </row>
    <row r="16" spans="2:17" ht="11.5" customHeight="1" x14ac:dyDescent="0.25">
      <c r="B16" s="75" t="s">
        <v>22</v>
      </c>
      <c r="C16" s="31"/>
      <c r="D16" s="32"/>
      <c r="E16" s="47"/>
      <c r="F16" s="33"/>
      <c r="G16" s="34"/>
      <c r="H16" s="3" t="s">
        <v>23</v>
      </c>
      <c r="I16" s="16">
        <f>+SUM(I17:I20)</f>
        <v>8.5</v>
      </c>
      <c r="K16" s="101"/>
      <c r="L16" s="18">
        <f>L15+$K$17</f>
        <v>29500</v>
      </c>
      <c r="M16" s="8">
        <f t="shared" si="1"/>
        <v>466.77836607142865</v>
      </c>
      <c r="N16" s="8">
        <f t="shared" si="0"/>
        <v>472.04622321428576</v>
      </c>
      <c r="O16" s="11">
        <f t="shared" si="0"/>
        <v>477.31408035714287</v>
      </c>
      <c r="P16" s="8">
        <f t="shared" si="0"/>
        <v>482.58193749999998</v>
      </c>
      <c r="Q16" s="8">
        <f t="shared" si="0"/>
        <v>487.84979464285709</v>
      </c>
    </row>
    <row r="17" spans="2:17" ht="11.5" customHeight="1" x14ac:dyDescent="0.25">
      <c r="B17" s="35" t="s">
        <v>24</v>
      </c>
      <c r="C17" s="35"/>
      <c r="D17" s="36"/>
      <c r="E17" s="67">
        <v>800000</v>
      </c>
      <c r="F17" s="37"/>
      <c r="G17" s="38"/>
      <c r="H17" s="4" t="s">
        <v>25</v>
      </c>
      <c r="I17" s="15">
        <f>E17*$E$18/$E$38</f>
        <v>1</v>
      </c>
      <c r="K17" s="79">
        <v>800</v>
      </c>
      <c r="L17" s="18">
        <f>L16+$K$17</f>
        <v>30300</v>
      </c>
      <c r="M17" s="8">
        <f t="shared" si="1"/>
        <v>478.7926946428571</v>
      </c>
      <c r="N17" s="8">
        <f t="shared" si="0"/>
        <v>484.20340892857149</v>
      </c>
      <c r="O17" s="11">
        <f t="shared" si="0"/>
        <v>489.61412321428571</v>
      </c>
      <c r="P17" s="8">
        <f t="shared" si="0"/>
        <v>495.02483750000005</v>
      </c>
      <c r="Q17" s="8">
        <f t="shared" si="0"/>
        <v>500.43555178571432</v>
      </c>
    </row>
    <row r="18" spans="2:17" ht="11.5" customHeight="1" x14ac:dyDescent="0.25">
      <c r="B18" s="35" t="s">
        <v>26</v>
      </c>
      <c r="C18" s="35"/>
      <c r="D18" s="36"/>
      <c r="E18" s="69">
        <v>0.05</v>
      </c>
      <c r="F18" s="48"/>
      <c r="G18" s="49"/>
      <c r="I18" s="15"/>
    </row>
    <row r="19" spans="2:17" ht="11.5" customHeight="1" x14ac:dyDescent="0.25">
      <c r="B19" s="35" t="s">
        <v>27</v>
      </c>
      <c r="C19" s="35"/>
      <c r="D19" s="36"/>
      <c r="E19" s="68">
        <v>200000</v>
      </c>
      <c r="F19" s="37"/>
      <c r="G19" s="38"/>
      <c r="H19" s="4" t="s">
        <v>28</v>
      </c>
      <c r="I19" s="15">
        <f>+E19/$E$38</f>
        <v>5</v>
      </c>
      <c r="K19" s="100" t="s">
        <v>29</v>
      </c>
      <c r="L19" s="100"/>
      <c r="M19" s="100"/>
      <c r="N19" s="100"/>
      <c r="O19" s="100"/>
      <c r="P19" s="100"/>
      <c r="Q19" s="100"/>
    </row>
    <row r="20" spans="2:17" ht="11.5" customHeight="1" x14ac:dyDescent="0.25">
      <c r="B20" s="35" t="s">
        <v>30</v>
      </c>
      <c r="C20" s="35"/>
      <c r="D20" s="36"/>
      <c r="E20" s="70">
        <v>100000</v>
      </c>
      <c r="F20" s="37"/>
      <c r="G20" s="38"/>
      <c r="H20" s="4" t="s">
        <v>31</v>
      </c>
      <c r="I20" s="15">
        <f>+E20/$E$38</f>
        <v>2.5</v>
      </c>
      <c r="K20" s="100" t="s">
        <v>32</v>
      </c>
      <c r="L20" s="100"/>
      <c r="M20" s="100"/>
      <c r="N20" s="100"/>
      <c r="O20" s="100"/>
      <c r="P20" s="100"/>
      <c r="Q20" s="100"/>
    </row>
    <row r="21" spans="2:17" ht="11.5" customHeight="1" x14ac:dyDescent="0.25">
      <c r="B21" s="35"/>
      <c r="C21" s="35"/>
      <c r="D21" s="36"/>
      <c r="E21" s="38"/>
      <c r="F21" s="37"/>
      <c r="G21" s="38"/>
      <c r="H21" s="9"/>
      <c r="I21" s="17"/>
      <c r="K21" s="5"/>
      <c r="L21" s="102" t="str">
        <f>CONCATENATE("Hemtjänstens andel av äldreomsorgens administrativa arbete ")</f>
        <v xml:space="preserve">Hemtjänstens andel av äldreomsorgens administrativa arbete </v>
      </c>
      <c r="M21" s="102"/>
      <c r="N21" s="102"/>
      <c r="O21" s="102"/>
      <c r="P21" s="102"/>
      <c r="Q21" s="78">
        <v>0.02</v>
      </c>
    </row>
    <row r="22" spans="2:17" ht="11.5" customHeight="1" x14ac:dyDescent="0.25">
      <c r="B22" s="75" t="s">
        <v>33</v>
      </c>
      <c r="C22" s="31"/>
      <c r="D22" s="32"/>
      <c r="E22" s="47"/>
      <c r="F22" s="33"/>
      <c r="G22" s="34"/>
      <c r="H22" s="3" t="s">
        <v>34</v>
      </c>
      <c r="I22" s="16">
        <f>+SUM(I25:I32)</f>
        <v>15.25</v>
      </c>
      <c r="K22" s="101" t="s">
        <v>35</v>
      </c>
      <c r="L22" s="6">
        <f>+T36</f>
        <v>0</v>
      </c>
      <c r="M22" s="19">
        <f>+N22-$Q$21</f>
        <v>0.36</v>
      </c>
      <c r="N22" s="19">
        <f>+O22-$Q$21</f>
        <v>0.38</v>
      </c>
      <c r="O22" s="7">
        <f>E23</f>
        <v>0.4</v>
      </c>
      <c r="P22" s="19">
        <f>+O22+$Q$21</f>
        <v>0.42000000000000004</v>
      </c>
      <c r="Q22" s="19">
        <f>+P22+$Q$21</f>
        <v>0.44000000000000006</v>
      </c>
    </row>
    <row r="23" spans="2:17" ht="11.5" customHeight="1" x14ac:dyDescent="0.25">
      <c r="B23" s="95" t="s">
        <v>36</v>
      </c>
      <c r="C23" s="35"/>
      <c r="D23" s="36"/>
      <c r="E23" s="97">
        <v>0.4</v>
      </c>
      <c r="F23" s="50"/>
      <c r="G23" s="51"/>
      <c r="I23" s="15"/>
      <c r="K23" s="101"/>
      <c r="L23" s="19">
        <f>+L24-$K$29</f>
        <v>7.0000000000000021E-2</v>
      </c>
      <c r="M23" s="8">
        <f t="shared" ref="M23:Q29" si="2">($L23*SUM($E$29:$E$32)/$E$38)+(M$22*SUM($E$25:$E$26)/$E$38)+$I$8+$I$16+$I$35</f>
        <v>449.73899464285716</v>
      </c>
      <c r="N23" s="8">
        <f t="shared" si="2"/>
        <v>450.1389946428572</v>
      </c>
      <c r="O23" s="11">
        <f t="shared" si="2"/>
        <v>450.53899464285718</v>
      </c>
      <c r="P23" s="8">
        <f t="shared" si="2"/>
        <v>450.93899464285721</v>
      </c>
      <c r="Q23" s="8">
        <f t="shared" si="2"/>
        <v>451.33899464285719</v>
      </c>
    </row>
    <row r="24" spans="2:17" ht="11.5" customHeight="1" x14ac:dyDescent="0.25">
      <c r="B24" s="95"/>
      <c r="C24" s="35"/>
      <c r="D24" s="36"/>
      <c r="E24" s="98"/>
      <c r="F24" s="50"/>
      <c r="G24" s="51"/>
      <c r="I24" s="15"/>
      <c r="K24" s="101"/>
      <c r="L24" s="19">
        <f>+L25-$K$29</f>
        <v>8.0000000000000016E-2</v>
      </c>
      <c r="M24" s="8">
        <f t="shared" si="2"/>
        <v>450.46399464285719</v>
      </c>
      <c r="N24" s="8">
        <f t="shared" si="2"/>
        <v>450.86399464285716</v>
      </c>
      <c r="O24" s="11">
        <f t="shared" si="2"/>
        <v>451.2639946428572</v>
      </c>
      <c r="P24" s="8">
        <f t="shared" si="2"/>
        <v>451.66399464285718</v>
      </c>
      <c r="Q24" s="8">
        <f t="shared" si="2"/>
        <v>452.06399464285721</v>
      </c>
    </row>
    <row r="25" spans="2:17" ht="11.5" customHeight="1" x14ac:dyDescent="0.25">
      <c r="B25" s="35" t="s">
        <v>37</v>
      </c>
      <c r="C25" s="35"/>
      <c r="D25" s="36"/>
      <c r="E25" s="68">
        <v>400000</v>
      </c>
      <c r="F25" s="37"/>
      <c r="G25" s="38"/>
      <c r="H25" s="4" t="s">
        <v>38</v>
      </c>
      <c r="I25" s="15">
        <f>+E25*$E$23/$E$38</f>
        <v>4</v>
      </c>
      <c r="K25" s="101"/>
      <c r="L25" s="19">
        <f>+L26-$K$29</f>
        <v>9.0000000000000011E-2</v>
      </c>
      <c r="M25" s="8">
        <f t="shared" si="2"/>
        <v>451.18899464285721</v>
      </c>
      <c r="N25" s="8">
        <f t="shared" si="2"/>
        <v>451.58899464285719</v>
      </c>
      <c r="O25" s="11">
        <f t="shared" si="2"/>
        <v>451.98899464285716</v>
      </c>
      <c r="P25" s="8">
        <f t="shared" si="2"/>
        <v>452.3889946428572</v>
      </c>
      <c r="Q25" s="8">
        <f t="shared" si="2"/>
        <v>452.78899464285718</v>
      </c>
    </row>
    <row r="26" spans="2:17" ht="11.5" customHeight="1" x14ac:dyDescent="0.25">
      <c r="B26" s="35" t="s">
        <v>39</v>
      </c>
      <c r="C26" s="35"/>
      <c r="D26" s="36"/>
      <c r="E26" s="68">
        <v>400000</v>
      </c>
      <c r="F26" s="37"/>
      <c r="G26" s="38"/>
      <c r="H26" s="4" t="s">
        <v>40</v>
      </c>
      <c r="I26" s="15">
        <f>+E26*$E$23/$E$38</f>
        <v>4</v>
      </c>
      <c r="K26" s="101"/>
      <c r="L26" s="7">
        <f>E27</f>
        <v>0.1</v>
      </c>
      <c r="M26" s="11">
        <f t="shared" si="2"/>
        <v>451.91399464285718</v>
      </c>
      <c r="N26" s="11">
        <f t="shared" si="2"/>
        <v>452.31399464285721</v>
      </c>
      <c r="O26" s="12">
        <f t="shared" si="2"/>
        <v>452.71399464285719</v>
      </c>
      <c r="P26" s="11">
        <f t="shared" si="2"/>
        <v>453.11399464285716</v>
      </c>
      <c r="Q26" s="11">
        <f t="shared" si="2"/>
        <v>453.5139946428572</v>
      </c>
    </row>
    <row r="27" spans="2:17" ht="11.5" customHeight="1" x14ac:dyDescent="0.25">
      <c r="B27" s="96" t="s">
        <v>41</v>
      </c>
      <c r="C27" s="35"/>
      <c r="D27" s="36"/>
      <c r="E27" s="99">
        <v>0.1</v>
      </c>
      <c r="F27" s="52"/>
      <c r="G27" s="53"/>
      <c r="I27" s="15"/>
      <c r="K27" s="101"/>
      <c r="L27" s="19">
        <f>+L26+$K$29</f>
        <v>0.11</v>
      </c>
      <c r="M27" s="8">
        <f t="shared" si="2"/>
        <v>452.6389946428572</v>
      </c>
      <c r="N27" s="8">
        <f t="shared" si="2"/>
        <v>453.03899464285718</v>
      </c>
      <c r="O27" s="11">
        <f t="shared" si="2"/>
        <v>453.43899464285721</v>
      </c>
      <c r="P27" s="8">
        <f t="shared" si="2"/>
        <v>453.83899464285719</v>
      </c>
      <c r="Q27" s="8">
        <f t="shared" si="2"/>
        <v>454.23899464285716</v>
      </c>
    </row>
    <row r="28" spans="2:17" ht="11.5" customHeight="1" x14ac:dyDescent="0.25">
      <c r="B28" s="96"/>
      <c r="C28" s="35"/>
      <c r="D28" s="36"/>
      <c r="E28" s="99"/>
      <c r="F28" s="52"/>
      <c r="G28" s="53"/>
      <c r="I28" s="15"/>
      <c r="K28" s="101"/>
      <c r="L28" s="19">
        <f>+L27+$K$29</f>
        <v>0.12</v>
      </c>
      <c r="M28" s="8">
        <f t="shared" si="2"/>
        <v>453.36399464285716</v>
      </c>
      <c r="N28" s="8">
        <f t="shared" si="2"/>
        <v>453.7639946428572</v>
      </c>
      <c r="O28" s="11">
        <f t="shared" si="2"/>
        <v>454.16399464285718</v>
      </c>
      <c r="P28" s="8">
        <f t="shared" si="2"/>
        <v>454.56399464285721</v>
      </c>
      <c r="Q28" s="8">
        <f t="shared" si="2"/>
        <v>454.96399464285719</v>
      </c>
    </row>
    <row r="29" spans="2:17" ht="11.5" customHeight="1" x14ac:dyDescent="0.25">
      <c r="B29" s="35" t="s">
        <v>42</v>
      </c>
      <c r="C29" s="35"/>
      <c r="D29" s="36"/>
      <c r="E29" s="68">
        <v>1200000</v>
      </c>
      <c r="F29" s="37"/>
      <c r="G29" s="38"/>
      <c r="H29" s="4" t="s">
        <v>43</v>
      </c>
      <c r="I29" s="15">
        <f>+E29*E$27/E$38</f>
        <v>3</v>
      </c>
      <c r="K29" s="80">
        <v>0.01</v>
      </c>
      <c r="L29" s="19">
        <f>+L28+$K$29</f>
        <v>0.13</v>
      </c>
      <c r="M29" s="8">
        <f t="shared" si="2"/>
        <v>454.08899464285719</v>
      </c>
      <c r="N29" s="8">
        <f t="shared" si="2"/>
        <v>454.48899464285716</v>
      </c>
      <c r="O29" s="11">
        <f t="shared" si="2"/>
        <v>454.8889946428572</v>
      </c>
      <c r="P29" s="8">
        <f t="shared" si="2"/>
        <v>455.28899464285718</v>
      </c>
      <c r="Q29" s="8">
        <f t="shared" si="2"/>
        <v>455.68899464285721</v>
      </c>
    </row>
    <row r="30" spans="2:17" ht="11.5" customHeight="1" x14ac:dyDescent="0.25">
      <c r="B30" s="35" t="s">
        <v>44</v>
      </c>
      <c r="C30" s="35"/>
      <c r="D30" s="36"/>
      <c r="E30" s="68">
        <v>500000</v>
      </c>
      <c r="F30" s="37"/>
      <c r="G30" s="38"/>
      <c r="H30" s="4" t="s">
        <v>45</v>
      </c>
      <c r="I30" s="15">
        <f>+E30*E$27/E$38</f>
        <v>1.25</v>
      </c>
    </row>
    <row r="31" spans="2:17" ht="11.5" customHeight="1" x14ac:dyDescent="0.25">
      <c r="B31" s="35" t="s">
        <v>46</v>
      </c>
      <c r="C31" s="35"/>
      <c r="D31" s="36"/>
      <c r="E31" s="77">
        <v>600000</v>
      </c>
      <c r="F31" s="37"/>
      <c r="G31" s="38"/>
      <c r="H31" s="4" t="s">
        <v>47</v>
      </c>
      <c r="I31" s="15">
        <f>+E31*E$27/E$38</f>
        <v>1.5</v>
      </c>
      <c r="K31" s="100" t="s">
        <v>48</v>
      </c>
      <c r="L31" s="100"/>
      <c r="M31" s="100"/>
      <c r="N31" s="100"/>
      <c r="O31" s="100"/>
      <c r="P31" s="100"/>
      <c r="Q31" s="100"/>
    </row>
    <row r="32" spans="2:17" ht="11.5" customHeight="1" x14ac:dyDescent="0.25">
      <c r="B32" s="35" t="s">
        <v>49</v>
      </c>
      <c r="C32" s="35"/>
      <c r="D32" s="36"/>
      <c r="E32" s="70">
        <v>600000</v>
      </c>
      <c r="F32" s="37"/>
      <c r="G32" s="38"/>
      <c r="H32" s="4" t="s">
        <v>31</v>
      </c>
      <c r="I32" s="15">
        <f>+E32*E$27/E$38</f>
        <v>1.5</v>
      </c>
      <c r="K32" s="100" t="s">
        <v>50</v>
      </c>
      <c r="L32" s="100"/>
      <c r="M32" s="100"/>
      <c r="N32" s="100"/>
      <c r="O32" s="100"/>
      <c r="P32" s="100"/>
      <c r="Q32" s="100"/>
    </row>
    <row r="33" spans="2:17" ht="11.5" customHeight="1" x14ac:dyDescent="0.25">
      <c r="D33" s="54"/>
      <c r="E33" s="10"/>
      <c r="F33" s="55"/>
      <c r="H33" s="4"/>
      <c r="I33" s="15"/>
      <c r="K33" s="5"/>
      <c r="L33" s="102" t="s">
        <v>51</v>
      </c>
      <c r="M33" s="102"/>
      <c r="N33" s="102"/>
      <c r="O33" s="102"/>
      <c r="P33" s="102"/>
      <c r="Q33" s="78">
        <v>0.05</v>
      </c>
    </row>
    <row r="34" spans="2:17" ht="11.5" customHeight="1" x14ac:dyDescent="0.25">
      <c r="B34" s="75" t="s">
        <v>52</v>
      </c>
      <c r="C34" s="31"/>
      <c r="D34" s="32"/>
      <c r="E34" s="56"/>
      <c r="F34" s="33"/>
      <c r="G34" s="34"/>
      <c r="H34" s="3" t="s">
        <v>53</v>
      </c>
      <c r="I34" s="16">
        <f>+I35</f>
        <v>128.68919839285718</v>
      </c>
      <c r="J34" s="6">
        <f>+I37</f>
        <v>452.71399464285719</v>
      </c>
      <c r="K34" s="101" t="s">
        <v>54</v>
      </c>
      <c r="L34" s="7"/>
      <c r="M34" s="19">
        <f>N34-$Q$33</f>
        <v>0.2</v>
      </c>
      <c r="N34" s="19">
        <f>O34-$Q$33</f>
        <v>0.25</v>
      </c>
      <c r="O34" s="7">
        <f>E35</f>
        <v>0.3</v>
      </c>
      <c r="P34" s="19">
        <f>+O34+$Q$33</f>
        <v>0.35</v>
      </c>
      <c r="Q34" s="19">
        <f>+P34+$Q$33</f>
        <v>0.39999999999999997</v>
      </c>
    </row>
    <row r="35" spans="2:17" ht="11.5" customHeight="1" x14ac:dyDescent="0.25">
      <c r="B35" s="35" t="s">
        <v>55</v>
      </c>
      <c r="C35" s="35"/>
      <c r="D35" s="36"/>
      <c r="E35" s="65">
        <v>0.3</v>
      </c>
      <c r="F35" s="39"/>
      <c r="G35" s="40"/>
      <c r="H35" s="4" t="s">
        <v>56</v>
      </c>
      <c r="I35" s="15">
        <f>($I$8)/(1-$E$35)-($I$8)</f>
        <v>128.68919839285718</v>
      </c>
      <c r="K35" s="101"/>
      <c r="L35" s="19">
        <f>L36-$K$41</f>
        <v>-0.06</v>
      </c>
      <c r="M35" s="8">
        <f t="shared" ref="M35:Q37" si="3">(1+$L35)*($I$8/(1-M$34)+$I$22+$I$16)</f>
        <v>375.14788559375</v>
      </c>
      <c r="N35" s="8">
        <f t="shared" si="3"/>
        <v>398.66941129999998</v>
      </c>
      <c r="O35" s="11">
        <f t="shared" si="3"/>
        <v>425.55115496428573</v>
      </c>
      <c r="P35" s="8">
        <f t="shared" si="3"/>
        <v>456.56855150000001</v>
      </c>
      <c r="Q35" s="8">
        <f t="shared" si="3"/>
        <v>492.75551412499999</v>
      </c>
    </row>
    <row r="36" spans="2:17" ht="11.5" customHeight="1" x14ac:dyDescent="0.25">
      <c r="B36" s="35"/>
      <c r="C36" s="35"/>
      <c r="D36" s="36"/>
      <c r="E36" s="57"/>
      <c r="F36" s="58"/>
      <c r="G36" s="59"/>
      <c r="H36" s="4"/>
      <c r="I36" s="15"/>
      <c r="K36" s="101"/>
      <c r="L36" s="19">
        <f>L37-$K$41</f>
        <v>-0.04</v>
      </c>
      <c r="M36" s="8">
        <f t="shared" si="3"/>
        <v>383.12975549999999</v>
      </c>
      <c r="N36" s="8">
        <f t="shared" si="3"/>
        <v>407.15173920000001</v>
      </c>
      <c r="O36" s="11">
        <f t="shared" si="3"/>
        <v>434.60543485714288</v>
      </c>
      <c r="P36" s="8">
        <f t="shared" si="3"/>
        <v>466.28277600000001</v>
      </c>
      <c r="Q36" s="8">
        <f t="shared" si="3"/>
        <v>503.23967399999998</v>
      </c>
    </row>
    <row r="37" spans="2:17" ht="11.5" customHeight="1" x14ac:dyDescent="0.25">
      <c r="B37" s="75" t="s">
        <v>57</v>
      </c>
      <c r="C37" s="31"/>
      <c r="D37" s="32"/>
      <c r="E37" s="56"/>
      <c r="F37" s="33"/>
      <c r="G37" s="34"/>
      <c r="H37" s="71" t="s">
        <v>58</v>
      </c>
      <c r="I37" s="72">
        <f>+I34+I22+I16+I8</f>
        <v>452.71399464285719</v>
      </c>
      <c r="K37" s="101"/>
      <c r="L37" s="19">
        <f>L38-$K$41</f>
        <v>-0.02</v>
      </c>
      <c r="M37" s="8">
        <f t="shared" si="3"/>
        <v>391.11162540625003</v>
      </c>
      <c r="N37" s="8">
        <f t="shared" si="3"/>
        <v>415.63406709999998</v>
      </c>
      <c r="O37" s="11">
        <f t="shared" si="3"/>
        <v>443.65971475000003</v>
      </c>
      <c r="P37" s="8">
        <f t="shared" si="3"/>
        <v>475.99700050000001</v>
      </c>
      <c r="Q37" s="8">
        <f t="shared" si="3"/>
        <v>513.72383387499997</v>
      </c>
    </row>
    <row r="38" spans="2:17" ht="11.5" customHeight="1" x14ac:dyDescent="0.25">
      <c r="B38" s="35" t="s">
        <v>59</v>
      </c>
      <c r="C38" s="35"/>
      <c r="D38" s="36"/>
      <c r="E38" s="66">
        <v>40000</v>
      </c>
      <c r="F38" s="37"/>
      <c r="G38" s="38"/>
      <c r="H38" s="4"/>
      <c r="K38" s="101"/>
      <c r="L38" s="7">
        <v>0</v>
      </c>
      <c r="M38" s="11">
        <f t="shared" ref="M38:Q41" si="4">(1+$L38)*($I$8/(1-M$34)+$I$22+$I$16)</f>
        <v>399.09349531250001</v>
      </c>
      <c r="N38" s="11">
        <f t="shared" si="4"/>
        <v>424.11639500000001</v>
      </c>
      <c r="O38" s="12">
        <f t="shared" si="4"/>
        <v>452.71399464285719</v>
      </c>
      <c r="P38" s="11">
        <f t="shared" si="4"/>
        <v>485.71122500000001</v>
      </c>
      <c r="Q38" s="11">
        <f t="shared" si="4"/>
        <v>524.20799375000001</v>
      </c>
    </row>
    <row r="39" spans="2:17" ht="11.5" customHeight="1" thickBot="1" x14ac:dyDescent="0.3">
      <c r="B39" s="35"/>
      <c r="C39" s="35"/>
      <c r="D39" s="60"/>
      <c r="E39" s="61"/>
      <c r="F39" s="62"/>
      <c r="G39" s="59"/>
      <c r="H39" s="93" t="str">
        <f>CONCATENATE("Totalkostnad för ",TEXT(E38,"# ##0")," timmar hemtjänst á ",TEXT(I37,"##0 kr"))</f>
        <v>Totalkostnad för 40 000 timmar hemtjänst á 453 kr</v>
      </c>
      <c r="I39" s="94">
        <f>O38*E38/1000000</f>
        <v>18.108559785714288</v>
      </c>
      <c r="J39" s="64"/>
      <c r="K39" s="101"/>
      <c r="L39" s="19">
        <f>L38+$K$41</f>
        <v>0.02</v>
      </c>
      <c r="M39" s="8">
        <f t="shared" si="4"/>
        <v>407.07536521874999</v>
      </c>
      <c r="N39" s="8">
        <f t="shared" si="4"/>
        <v>432.59872290000004</v>
      </c>
      <c r="O39" s="11">
        <f t="shared" si="4"/>
        <v>461.76827453571434</v>
      </c>
      <c r="P39" s="8">
        <f t="shared" si="4"/>
        <v>495.42544950000001</v>
      </c>
      <c r="Q39" s="8">
        <f t="shared" si="4"/>
        <v>534.69215362500006</v>
      </c>
    </row>
    <row r="40" spans="2:17" ht="11.5" customHeight="1" x14ac:dyDescent="0.25">
      <c r="E40" s="63"/>
      <c r="F40" s="63"/>
      <c r="G40" s="63"/>
      <c r="H40" s="93"/>
      <c r="I40" s="94"/>
      <c r="K40" s="101"/>
      <c r="L40" s="19">
        <f>L39+$K$41</f>
        <v>0.04</v>
      </c>
      <c r="M40" s="8">
        <f t="shared" si="4"/>
        <v>415.05723512500003</v>
      </c>
      <c r="N40" s="8">
        <f t="shared" si="4"/>
        <v>441.08105080000001</v>
      </c>
      <c r="O40" s="11">
        <f t="shared" si="4"/>
        <v>470.82255442857149</v>
      </c>
      <c r="P40" s="8">
        <f t="shared" si="4"/>
        <v>505.13967400000001</v>
      </c>
      <c r="Q40" s="8">
        <f t="shared" si="4"/>
        <v>545.17631349999999</v>
      </c>
    </row>
    <row r="41" spans="2:17" ht="11.5" customHeight="1" x14ac:dyDescent="0.25">
      <c r="E41" s="63"/>
      <c r="F41" s="63"/>
      <c r="G41" s="63"/>
      <c r="H41" s="27"/>
      <c r="K41" s="80">
        <v>0.02</v>
      </c>
      <c r="L41" s="19">
        <f>L40+$K$41</f>
        <v>0.06</v>
      </c>
      <c r="M41" s="8">
        <f t="shared" si="4"/>
        <v>423.03910503125002</v>
      </c>
      <c r="N41" s="8">
        <f t="shared" si="4"/>
        <v>449.56337870000004</v>
      </c>
      <c r="O41" s="11">
        <f t="shared" si="4"/>
        <v>479.87683432142865</v>
      </c>
      <c r="P41" s="8">
        <f t="shared" si="4"/>
        <v>514.85389850000001</v>
      </c>
      <c r="Q41" s="8">
        <f t="shared" si="4"/>
        <v>555.66047337500004</v>
      </c>
    </row>
    <row r="42" spans="2:17" ht="11.25" customHeight="1" x14ac:dyDescent="0.25">
      <c r="F42" s="22"/>
    </row>
    <row r="44" spans="2:17" ht="11.25" customHeight="1" x14ac:dyDescent="0.25">
      <c r="J44" s="64"/>
    </row>
    <row r="45" spans="2:17" ht="11.25" customHeight="1" x14ac:dyDescent="0.25">
      <c r="J45" s="64"/>
    </row>
    <row r="46" spans="2:17" ht="11.25" customHeight="1" x14ac:dyDescent="0.25">
      <c r="J46" s="64"/>
    </row>
    <row r="47" spans="2:17" ht="11.25" customHeight="1" x14ac:dyDescent="0.25">
      <c r="J47" s="64"/>
    </row>
    <row r="48" spans="2:17" ht="11.25" customHeight="1" x14ac:dyDescent="0.25">
      <c r="J48" s="64"/>
    </row>
    <row r="49" spans="8:10" ht="11.25" customHeight="1" x14ac:dyDescent="0.25">
      <c r="I49" s="64"/>
      <c r="J49" s="64"/>
    </row>
    <row r="50" spans="8:10" ht="11.25" customHeight="1" x14ac:dyDescent="0.25">
      <c r="J50" s="64"/>
    </row>
    <row r="51" spans="8:10" ht="11.25" customHeight="1" x14ac:dyDescent="0.25">
      <c r="H51" s="64"/>
      <c r="J51" s="64"/>
    </row>
    <row r="54" spans="8:10" ht="11.25" customHeight="1" x14ac:dyDescent="0.25">
      <c r="I54" s="64"/>
    </row>
    <row r="55" spans="8:10" ht="11.25" customHeight="1" x14ac:dyDescent="0.25">
      <c r="I55" s="64"/>
    </row>
    <row r="56" spans="8:10" ht="11.25" customHeight="1" x14ac:dyDescent="0.25">
      <c r="H56" s="64"/>
      <c r="I56" s="64"/>
    </row>
    <row r="57" spans="8:10" ht="11.25" customHeight="1" x14ac:dyDescent="0.25">
      <c r="H57" s="64"/>
      <c r="I57" s="64"/>
    </row>
    <row r="58" spans="8:10" ht="11.25" customHeight="1" x14ac:dyDescent="0.25">
      <c r="H58" s="64"/>
      <c r="I58" s="64"/>
    </row>
    <row r="59" spans="8:10" ht="11.25" customHeight="1" x14ac:dyDescent="0.25">
      <c r="H59" s="64"/>
      <c r="I59" s="64"/>
    </row>
    <row r="60" spans="8:10" ht="11.25" customHeight="1" x14ac:dyDescent="0.25">
      <c r="H60" s="64"/>
      <c r="I60" s="64"/>
    </row>
    <row r="61" spans="8:10" ht="11.25" customHeight="1" x14ac:dyDescent="0.25">
      <c r="H61" s="64"/>
      <c r="I61" s="64"/>
    </row>
    <row r="62" spans="8:10" ht="11.25" customHeight="1" x14ac:dyDescent="0.25">
      <c r="H62" s="64"/>
    </row>
    <row r="63" spans="8:10" ht="11.25" customHeight="1" x14ac:dyDescent="0.25">
      <c r="H63" s="64"/>
    </row>
  </sheetData>
  <sheetProtection sheet="1" formatColumns="0" formatRows="0"/>
  <mergeCells count="18">
    <mergeCell ref="K34:K40"/>
    <mergeCell ref="K31:Q31"/>
    <mergeCell ref="K32:Q32"/>
    <mergeCell ref="L33:P33"/>
    <mergeCell ref="K20:Q20"/>
    <mergeCell ref="K22:K28"/>
    <mergeCell ref="L21:P21"/>
    <mergeCell ref="K7:Q7"/>
    <mergeCell ref="K8:Q8"/>
    <mergeCell ref="K19:Q19"/>
    <mergeCell ref="K10:K16"/>
    <mergeCell ref="L9:P9"/>
    <mergeCell ref="H39:H40"/>
    <mergeCell ref="I39:I40"/>
    <mergeCell ref="B23:B24"/>
    <mergeCell ref="B27:B28"/>
    <mergeCell ref="E23:E24"/>
    <mergeCell ref="E27:E28"/>
  </mergeCells>
  <pageMargins left="0.33" right="0.25" top="0.75" bottom="0.75" header="0.3" footer="0.3"/>
  <pageSetup paperSize="9" scale="84" orientation="landscape" horizontalDpi="200" verticalDpi="200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a898a7-8698-45fb-937f-a5112a931611">
      <Terms xmlns="http://schemas.microsoft.com/office/infopath/2007/PartnerControls"/>
    </lcf76f155ced4ddcb4097134ff3c332f>
    <TaxCatchAll xmlns="acad8946-b39f-49d0-8af0-3d229caf5c3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A9B765BEBA4149B2F81422F7EEDFEC" ma:contentTypeVersion="11" ma:contentTypeDescription="Skapa ett nytt dokument." ma:contentTypeScope="" ma:versionID="9f7d2a8b1a825893ced4aa040819756a">
  <xsd:schema xmlns:xsd="http://www.w3.org/2001/XMLSchema" xmlns:xs="http://www.w3.org/2001/XMLSchema" xmlns:p="http://schemas.microsoft.com/office/2006/metadata/properties" xmlns:ns2="d1a898a7-8698-45fb-937f-a5112a931611" xmlns:ns3="acad8946-b39f-49d0-8af0-3d229caf5c36" targetNamespace="http://schemas.microsoft.com/office/2006/metadata/properties" ma:root="true" ma:fieldsID="017bc0eb48995151766161eb6fb4241d" ns2:_="" ns3:_="">
    <xsd:import namespace="d1a898a7-8698-45fb-937f-a5112a931611"/>
    <xsd:import namespace="acad8946-b39f-49d0-8af0-3d229caf5c3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a898a7-8698-45fb-937f-a5112a931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markeringar" ma:readOnly="false" ma:fieldId="{5cf76f15-5ced-4ddc-b409-7134ff3c332f}" ma:taxonomyMulti="true" ma:sspId="31ec198c-d8c7-4990-9d38-6e6c54e42e0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ad8946-b39f-49d0-8af0-3d229caf5c3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0d99a3bb-c904-4593-bf8e-b7fb1ec06d47}" ma:internalName="TaxCatchAll" ma:showField="CatchAllData" ma:web="acad8946-b39f-49d0-8af0-3d229caf5c3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DE8691E-5720-4E3E-8A22-75D275D2FDC9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purl.org/dc/elements/1.1/"/>
    <ds:schemaRef ds:uri="acad8946-b39f-49d0-8af0-3d229caf5c36"/>
    <ds:schemaRef ds:uri="d1a898a7-8698-45fb-937f-a5112a931611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51D89C1-FD1D-4D46-98C8-EDA57B49CA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B411520-A0BE-4727-87D4-2B67AF0A98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a898a7-8698-45fb-937f-a5112a931611"/>
    <ds:schemaRef ds:uri="acad8946-b39f-49d0-8af0-3d229caf5c3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HeadingPairs>
  <TitlesOfParts>
    <vt:vector size="3" baseType="lpstr">
      <vt:lpstr>Instruktion och introduktion</vt:lpstr>
      <vt:lpstr>Räknesnurra för hemtjänst</vt:lpstr>
      <vt:lpstr>'Räknesnurra för hemtjänst'!Utskriftsområde</vt:lpstr>
    </vt:vector>
  </TitlesOfParts>
  <Manager/>
  <Company>TKK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Lars.Kolmodin@skr.se;Thomaz.Ohlsson@skr.se</dc:creator>
  <cp:keywords/>
  <dc:description/>
  <cp:lastModifiedBy>Ohlsson Thomaz</cp:lastModifiedBy>
  <cp:revision/>
  <dcterms:created xsi:type="dcterms:W3CDTF">2009-06-07T20:16:28Z</dcterms:created>
  <dcterms:modified xsi:type="dcterms:W3CDTF">2024-03-28T11:33:05Z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0x010100DCA9B765BEBA4149B2F81422F7EEDFEC</vt:lpwstr>
  </property>
  <property fmtid="{D5CDD505-2E9C-101B-9397-08002B2CF9AE}" pid="3" name="MediaServiceImageTags">
    <vt:lpwstr/>
  </property>
</Properties>
</file>